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5 - 0036.109115.2022-75 - 4º Ajuste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91" r:id="rId10"/>
    <sheet name="Médico - Noturno" sheetId="92" r:id="rId11"/>
    <sheet name="Uniformes" sheetId="82" r:id="rId12"/>
    <sheet name="Materiais" sheetId="90" r:id="rId13"/>
    <sheet name="Equipamentos" sheetId="59" r:id="rId14"/>
  </sheets>
  <externalReferences>
    <externalReference r:id="rId15"/>
  </externalReferences>
  <definedNames>
    <definedName name="_xlnm.Print_Area" localSheetId="7">'Enfermeiro - Diurno'!$A$1:$E$112</definedName>
    <definedName name="_xlnm.Print_Area" localSheetId="8">'Enfermeiro - Noturno'!$A$1:$E$113</definedName>
    <definedName name="_xlnm.Print_Area" localSheetId="13">Equipamentos!$A$1:$H$36</definedName>
    <definedName name="_xlnm.Print_Area" localSheetId="12">Materiais!$A$1:$H$28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Diurno'!$A$1:$H$112</definedName>
    <definedName name="_xlnm.Print_Area" localSheetId="4">'Motorista - Noturno'!$A$1:$F$113</definedName>
    <definedName name="_xlnm.Print_Area" localSheetId="2">Planilha!$A$1:$H$38</definedName>
    <definedName name="_xlnm.Print_Area" localSheetId="5">'Técnico de Enfermagem - Diurno'!$A$1:$F$113</definedName>
    <definedName name="_xlnm.Print_Area" localSheetId="6">'Técnico de Enfermagem - Noturno'!$A$1:$D$113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90" l="1"/>
  <c r="H21" i="90"/>
  <c r="H20" i="90"/>
  <c r="H19" i="90"/>
  <c r="H18" i="90"/>
  <c r="H8" i="90"/>
  <c r="H16" i="90"/>
  <c r="H12" i="90"/>
  <c r="H15" i="90"/>
  <c r="H14" i="90"/>
  <c r="G15" i="90"/>
  <c r="G14" i="90"/>
  <c r="G12" i="90"/>
  <c r="F12" i="90"/>
  <c r="E15" i="90"/>
  <c r="E14" i="90"/>
  <c r="E12" i="90"/>
  <c r="H7" i="90"/>
  <c r="H6" i="90"/>
  <c r="G7" i="90"/>
  <c r="G6" i="90"/>
  <c r="E7" i="90"/>
  <c r="E6" i="90"/>
  <c r="E4" i="90"/>
  <c r="C13" i="92" l="1"/>
  <c r="C13" i="91"/>
  <c r="E18" i="11"/>
  <c r="E18" i="67" l="1"/>
  <c r="F18" i="11"/>
  <c r="F49" i="67" l="1"/>
  <c r="D49" i="67"/>
  <c r="F48" i="67"/>
  <c r="E48" i="67"/>
  <c r="D48" i="67"/>
  <c r="F47" i="67"/>
  <c r="E47" i="67"/>
  <c r="E49" i="67" s="1"/>
  <c r="D47" i="67"/>
  <c r="F45" i="67"/>
  <c r="E45" i="67"/>
  <c r="D45" i="67"/>
  <c r="F20" i="67"/>
  <c r="E20" i="67"/>
  <c r="D20" i="67"/>
  <c r="H47" i="11"/>
  <c r="G47" i="11"/>
  <c r="F47" i="11"/>
  <c r="E47" i="11"/>
  <c r="D47" i="11"/>
  <c r="H46" i="11"/>
  <c r="G46" i="11"/>
  <c r="F46" i="11"/>
  <c r="E46" i="11"/>
  <c r="D46" i="11"/>
  <c r="H44" i="11"/>
  <c r="G44" i="11"/>
  <c r="F44" i="11"/>
  <c r="E44" i="11"/>
  <c r="D44" i="11"/>
  <c r="H20" i="11"/>
  <c r="G20" i="11"/>
  <c r="F20" i="11"/>
  <c r="E20" i="11"/>
  <c r="D20" i="11"/>
  <c r="E86" i="92" l="1"/>
  <c r="D86" i="92"/>
  <c r="E86" i="91"/>
  <c r="D86" i="91"/>
  <c r="E87" i="84"/>
  <c r="D87" i="84"/>
  <c r="E86" i="83"/>
  <c r="D86" i="83"/>
  <c r="F87" i="88"/>
  <c r="E87" i="88"/>
  <c r="D87" i="88"/>
  <c r="F87" i="67"/>
  <c r="E87" i="67"/>
  <c r="D87" i="67"/>
  <c r="H86" i="11"/>
  <c r="G86" i="11"/>
  <c r="F86" i="11"/>
  <c r="E86" i="11"/>
  <c r="D86" i="11"/>
  <c r="H22" i="59" l="1"/>
  <c r="H21" i="59"/>
  <c r="H20" i="59"/>
  <c r="H19" i="59"/>
  <c r="H18" i="59"/>
  <c r="H7" i="82" l="1"/>
  <c r="F4" i="90" l="1"/>
  <c r="F6" i="59" l="1"/>
  <c r="F4" i="59"/>
  <c r="E6" i="82"/>
  <c r="G6" i="82" s="1"/>
  <c r="H6" i="82" s="1"/>
  <c r="E5" i="82"/>
  <c r="G5" i="82" s="1"/>
  <c r="H5" i="82" s="1"/>
  <c r="A5" i="82"/>
  <c r="E4" i="82"/>
  <c r="G4" i="82" s="1"/>
  <c r="H4" i="82" s="1"/>
  <c r="A4" i="82"/>
  <c r="E3" i="82"/>
  <c r="G3" i="82" s="1"/>
  <c r="H3" i="82" s="1"/>
  <c r="C64" i="92" l="1"/>
  <c r="C64" i="91"/>
  <c r="C65" i="84"/>
  <c r="C64" i="83"/>
  <c r="C65" i="89"/>
  <c r="C65" i="88"/>
  <c r="C65" i="67"/>
  <c r="C64" i="11"/>
  <c r="D62" i="89"/>
  <c r="D54" i="89"/>
  <c r="D41" i="89"/>
  <c r="D30" i="89"/>
  <c r="D25" i="89"/>
  <c r="C102" i="92" l="1"/>
  <c r="C94" i="92"/>
  <c r="E84" i="92"/>
  <c r="D84" i="92"/>
  <c r="E74" i="92"/>
  <c r="D74" i="92"/>
  <c r="C70" i="92"/>
  <c r="C78" i="92" s="1"/>
  <c r="C80" i="92" s="1"/>
  <c r="C41" i="92"/>
  <c r="C30" i="92"/>
  <c r="C28" i="92"/>
  <c r="E20" i="92"/>
  <c r="D20" i="92"/>
  <c r="E18" i="92"/>
  <c r="C102" i="91"/>
  <c r="C94" i="91" s="1"/>
  <c r="E84" i="91"/>
  <c r="D84" i="91"/>
  <c r="E74" i="91"/>
  <c r="D74" i="91"/>
  <c r="C70" i="91"/>
  <c r="C78" i="91" s="1"/>
  <c r="C80" i="91" s="1"/>
  <c r="C41" i="91"/>
  <c r="C30" i="91"/>
  <c r="C28" i="91"/>
  <c r="E20" i="91"/>
  <c r="D20" i="91"/>
  <c r="D18" i="91"/>
  <c r="E48" i="92" l="1"/>
  <c r="E52" i="92" s="1"/>
  <c r="E21" i="92"/>
  <c r="E25" i="92" s="1"/>
  <c r="D18" i="92"/>
  <c r="D25" i="91"/>
  <c r="D48" i="91"/>
  <c r="D52" i="91" s="1"/>
  <c r="E18" i="91"/>
  <c r="E29" i="92" l="1"/>
  <c r="E105" i="92"/>
  <c r="E59" i="92"/>
  <c r="E28" i="92"/>
  <c r="E58" i="92"/>
  <c r="E60" i="92"/>
  <c r="E57" i="92"/>
  <c r="E56" i="92"/>
  <c r="D48" i="92"/>
  <c r="D52" i="92" s="1"/>
  <c r="D21" i="92"/>
  <c r="D25" i="92" s="1"/>
  <c r="D105" i="91"/>
  <c r="D28" i="91"/>
  <c r="D30" i="91" s="1"/>
  <c r="D50" i="91" s="1"/>
  <c r="D60" i="91"/>
  <c r="D59" i="91"/>
  <c r="D58" i="91"/>
  <c r="D57" i="91"/>
  <c r="D56" i="91"/>
  <c r="D29" i="91"/>
  <c r="E25" i="91"/>
  <c r="E48" i="91"/>
  <c r="E52" i="91" s="1"/>
  <c r="E30" i="92" l="1"/>
  <c r="E50" i="92" s="1"/>
  <c r="D59" i="92"/>
  <c r="D60" i="92"/>
  <c r="D105" i="92"/>
  <c r="D58" i="92"/>
  <c r="D57" i="92"/>
  <c r="D29" i="92"/>
  <c r="D56" i="92"/>
  <c r="D28" i="92"/>
  <c r="E33" i="92"/>
  <c r="E36" i="92"/>
  <c r="E35" i="92"/>
  <c r="E38" i="92"/>
  <c r="E39" i="92"/>
  <c r="E37" i="92"/>
  <c r="E61" i="92"/>
  <c r="E107" i="92" s="1"/>
  <c r="E34" i="92"/>
  <c r="E40" i="92"/>
  <c r="D37" i="91"/>
  <c r="D38" i="91"/>
  <c r="E60" i="91"/>
  <c r="E28" i="91"/>
  <c r="E59" i="91"/>
  <c r="E58" i="91"/>
  <c r="E105" i="91"/>
  <c r="E57" i="91"/>
  <c r="E56" i="91"/>
  <c r="E29" i="91"/>
  <c r="D34" i="91"/>
  <c r="D36" i="91"/>
  <c r="D61" i="91"/>
  <c r="D107" i="91" s="1"/>
  <c r="D40" i="91"/>
  <c r="D33" i="91"/>
  <c r="D35" i="91"/>
  <c r="D39" i="91"/>
  <c r="E61" i="91" l="1"/>
  <c r="E107" i="91" s="1"/>
  <c r="D30" i="92"/>
  <c r="D61" i="92"/>
  <c r="D107" i="92" s="1"/>
  <c r="E41" i="92"/>
  <c r="E51" i="92" s="1"/>
  <c r="E53" i="92" s="1"/>
  <c r="D41" i="91"/>
  <c r="D51" i="91" s="1"/>
  <c r="D53" i="91" s="1"/>
  <c r="E30" i="91"/>
  <c r="E106" i="92" l="1"/>
  <c r="E79" i="92"/>
  <c r="E65" i="92"/>
  <c r="E64" i="92"/>
  <c r="E68" i="92"/>
  <c r="E66" i="92"/>
  <c r="E67" i="92"/>
  <c r="E69" i="92"/>
  <c r="D50" i="92"/>
  <c r="D40" i="92"/>
  <c r="D39" i="92"/>
  <c r="D33" i="92"/>
  <c r="D37" i="92"/>
  <c r="D34" i="92"/>
  <c r="D35" i="92"/>
  <c r="D38" i="92"/>
  <c r="D36" i="92"/>
  <c r="D106" i="91"/>
  <c r="D65" i="91"/>
  <c r="D68" i="91"/>
  <c r="D69" i="91"/>
  <c r="D67" i="91"/>
  <c r="D64" i="91"/>
  <c r="D79" i="91"/>
  <c r="D66" i="91"/>
  <c r="E50" i="91"/>
  <c r="E36" i="91"/>
  <c r="E39" i="91"/>
  <c r="E40" i="91"/>
  <c r="E37" i="91"/>
  <c r="E35" i="91"/>
  <c r="E33" i="91"/>
  <c r="E34" i="91"/>
  <c r="E38" i="91"/>
  <c r="D41" i="92" l="1"/>
  <c r="D51" i="92" s="1"/>
  <c r="D53" i="92" s="1"/>
  <c r="E70" i="92"/>
  <c r="E78" i="92" s="1"/>
  <c r="E80" i="92" s="1"/>
  <c r="E81" i="92" s="1"/>
  <c r="D70" i="91"/>
  <c r="D78" i="91" s="1"/>
  <c r="D80" i="91" s="1"/>
  <c r="D81" i="91" s="1"/>
  <c r="E41" i="91"/>
  <c r="E51" i="91" s="1"/>
  <c r="E53" i="91" s="1"/>
  <c r="D106" i="92" l="1"/>
  <c r="D69" i="92"/>
  <c r="D79" i="92"/>
  <c r="D64" i="92"/>
  <c r="D68" i="92"/>
  <c r="D66" i="92"/>
  <c r="D65" i="92"/>
  <c r="D67" i="92"/>
  <c r="E108" i="92"/>
  <c r="E106" i="91"/>
  <c r="E66" i="91"/>
  <c r="E69" i="91"/>
  <c r="E79" i="91"/>
  <c r="E68" i="91"/>
  <c r="E64" i="91"/>
  <c r="E65" i="91"/>
  <c r="E67" i="91"/>
  <c r="D108" i="91"/>
  <c r="D70" i="92" l="1"/>
  <c r="D78" i="92" s="1"/>
  <c r="D80" i="92" s="1"/>
  <c r="D81" i="92" s="1"/>
  <c r="E70" i="91"/>
  <c r="E78" i="91" s="1"/>
  <c r="E80" i="91" s="1"/>
  <c r="E81" i="91" s="1"/>
  <c r="D108" i="92" l="1"/>
  <c r="E108" i="91"/>
  <c r="D18" i="84" l="1"/>
  <c r="D20" i="84"/>
  <c r="D49" i="84" l="1"/>
  <c r="D53" i="84" s="1"/>
  <c r="D21" i="84"/>
  <c r="D25" i="84" s="1"/>
  <c r="D28" i="84" l="1"/>
  <c r="D58" i="84"/>
  <c r="D29" i="84"/>
  <c r="D61" i="84"/>
  <c r="D60" i="84"/>
  <c r="D106" i="84"/>
  <c r="D59" i="84"/>
  <c r="D57" i="84"/>
  <c r="D62" i="84" l="1"/>
  <c r="D108" i="84" s="1"/>
  <c r="D30" i="84"/>
  <c r="D107" i="83"/>
  <c r="D105" i="83"/>
  <c r="D74" i="83"/>
  <c r="D60" i="83"/>
  <c r="D59" i="83"/>
  <c r="D58" i="83"/>
  <c r="D57" i="83"/>
  <c r="D56" i="83"/>
  <c r="D51" i="83"/>
  <c r="D50" i="83"/>
  <c r="D33" i="83"/>
  <c r="D40" i="83"/>
  <c r="D39" i="83"/>
  <c r="D38" i="83"/>
  <c r="D37" i="83"/>
  <c r="D36" i="83"/>
  <c r="D35" i="83"/>
  <c r="D34" i="83"/>
  <c r="D29" i="83"/>
  <c r="D28" i="83"/>
  <c r="D18" i="83"/>
  <c r="D25" i="83" s="1"/>
  <c r="D20" i="83"/>
  <c r="D51" i="84" l="1"/>
  <c r="D34" i="84"/>
  <c r="D33" i="84"/>
  <c r="D40" i="84"/>
  <c r="D36" i="84"/>
  <c r="D38" i="84"/>
  <c r="D35" i="84"/>
  <c r="D37" i="84"/>
  <c r="D39" i="84"/>
  <c r="D61" i="83"/>
  <c r="D48" i="83"/>
  <c r="D52" i="83" s="1"/>
  <c r="D53" i="83" s="1"/>
  <c r="D41" i="83"/>
  <c r="D30" i="83"/>
  <c r="D79" i="83" l="1"/>
  <c r="D106" i="83"/>
  <c r="D41" i="84"/>
  <c r="D52" i="84" s="1"/>
  <c r="D54" i="84"/>
  <c r="E53" i="67"/>
  <c r="E21" i="67"/>
  <c r="E25" i="67" s="1"/>
  <c r="E57" i="67" l="1"/>
  <c r="E106" i="67"/>
  <c r="E29" i="67"/>
  <c r="E61" i="67"/>
  <c r="E28" i="67"/>
  <c r="E60" i="67"/>
  <c r="E59" i="67"/>
  <c r="E58" i="67"/>
  <c r="D107" i="84"/>
  <c r="D80" i="84"/>
  <c r="D74" i="84"/>
  <c r="D75" i="84" s="1"/>
  <c r="E30" i="67" l="1"/>
  <c r="E62" i="67"/>
  <c r="E108" i="67" s="1"/>
  <c r="H73" i="11"/>
  <c r="H74" i="11" s="1"/>
  <c r="H18" i="11"/>
  <c r="H25" i="11" s="1"/>
  <c r="E51" i="67" l="1"/>
  <c r="E33" i="67"/>
  <c r="E35" i="67"/>
  <c r="E38" i="67"/>
  <c r="E34" i="67"/>
  <c r="E36" i="67"/>
  <c r="E39" i="67"/>
  <c r="E37" i="67"/>
  <c r="E40" i="67"/>
  <c r="H59" i="11"/>
  <c r="H58" i="11"/>
  <c r="H60" i="11"/>
  <c r="H57" i="11"/>
  <c r="H56" i="11"/>
  <c r="H29" i="11"/>
  <c r="H48" i="11"/>
  <c r="H52" i="11" s="1"/>
  <c r="H105" i="11"/>
  <c r="H61" i="11" l="1"/>
  <c r="H107" i="11" s="1"/>
  <c r="E41" i="67"/>
  <c r="E52" i="67" s="1"/>
  <c r="E54" i="67"/>
  <c r="E25" i="11"/>
  <c r="E73" i="11"/>
  <c r="E74" i="11" s="1"/>
  <c r="E107" i="67" l="1"/>
  <c r="E80" i="67"/>
  <c r="E74" i="67"/>
  <c r="E75" i="67" s="1"/>
  <c r="E105" i="11"/>
  <c r="E58" i="11"/>
  <c r="E59" i="11"/>
  <c r="E60" i="11"/>
  <c r="E29" i="11"/>
  <c r="E56" i="11"/>
  <c r="E57" i="11"/>
  <c r="E48" i="11"/>
  <c r="E52" i="11" s="1"/>
  <c r="E61" i="11" l="1"/>
  <c r="E107" i="11" s="1"/>
  <c r="G4" i="90"/>
  <c r="H4" i="90" s="1"/>
  <c r="D85" i="11" l="1"/>
  <c r="H85" i="11"/>
  <c r="G85" i="11"/>
  <c r="F85" i="11"/>
  <c r="E85" i="11"/>
  <c r="F12" i="59"/>
  <c r="F14" i="59"/>
  <c r="G14" i="59" s="1"/>
  <c r="H14" i="59" s="1"/>
  <c r="G12" i="59"/>
  <c r="H12" i="59" s="1"/>
  <c r="G6" i="59"/>
  <c r="H6" i="59" s="1"/>
  <c r="G4" i="59"/>
  <c r="H4" i="59" s="1"/>
  <c r="G16" i="59"/>
  <c r="H16" i="59" s="1"/>
  <c r="E20" i="84"/>
  <c r="E20" i="83"/>
  <c r="D20" i="89"/>
  <c r="D20" i="88"/>
  <c r="E20" i="88"/>
  <c r="F20" i="88"/>
  <c r="F18" i="88"/>
  <c r="F25" i="88" s="1"/>
  <c r="E18" i="88"/>
  <c r="G73" i="11"/>
  <c r="G74" i="11" s="1"/>
  <c r="G18" i="11"/>
  <c r="G8" i="59"/>
  <c r="H8" i="59" s="1"/>
  <c r="C103" i="89"/>
  <c r="C95" i="89" s="1"/>
  <c r="C75" i="89"/>
  <c r="C71" i="89"/>
  <c r="C79" i="89" s="1"/>
  <c r="C81" i="89" s="1"/>
  <c r="C41" i="89"/>
  <c r="C28" i="89"/>
  <c r="C30" i="89" s="1"/>
  <c r="D18" i="89"/>
  <c r="C103" i="88"/>
  <c r="C95" i="88" s="1"/>
  <c r="C75" i="88"/>
  <c r="C71" i="88"/>
  <c r="C79" i="88" s="1"/>
  <c r="C81" i="88" s="1"/>
  <c r="C41" i="88"/>
  <c r="C28" i="88"/>
  <c r="C30" i="88" s="1"/>
  <c r="D18" i="88"/>
  <c r="F86" i="88" l="1"/>
  <c r="E86" i="84"/>
  <c r="E85" i="83"/>
  <c r="F86" i="67"/>
  <c r="E85" i="92"/>
  <c r="E85" i="91"/>
  <c r="E86" i="88"/>
  <c r="D86" i="84"/>
  <c r="D85" i="83"/>
  <c r="D85" i="92"/>
  <c r="E86" i="67"/>
  <c r="D85" i="91"/>
  <c r="D86" i="89"/>
  <c r="D86" i="88"/>
  <c r="D86" i="67"/>
  <c r="F49" i="88"/>
  <c r="F53" i="88" s="1"/>
  <c r="E25" i="88"/>
  <c r="E58" i="88" s="1"/>
  <c r="G25" i="11"/>
  <c r="G48" i="11"/>
  <c r="G52" i="11" s="1"/>
  <c r="F106" i="88"/>
  <c r="F61" i="88"/>
  <c r="F60" i="88"/>
  <c r="F59" i="88"/>
  <c r="F58" i="88"/>
  <c r="F57" i="88"/>
  <c r="F29" i="88"/>
  <c r="F28" i="88"/>
  <c r="E49" i="88"/>
  <c r="E53" i="88" s="1"/>
  <c r="D49" i="89"/>
  <c r="D53" i="89" s="1"/>
  <c r="D21" i="89"/>
  <c r="D49" i="88"/>
  <c r="D53" i="88" s="1"/>
  <c r="D25" i="88"/>
  <c r="F62" i="88" l="1"/>
  <c r="F108" i="88" s="1"/>
  <c r="E59" i="88"/>
  <c r="E60" i="88"/>
  <c r="E28" i="88"/>
  <c r="E57" i="88"/>
  <c r="E61" i="88"/>
  <c r="E62" i="88" s="1"/>
  <c r="E108" i="88" s="1"/>
  <c r="E106" i="88"/>
  <c r="E29" i="88"/>
  <c r="D88" i="92"/>
  <c r="D88" i="91"/>
  <c r="E88" i="92"/>
  <c r="E88" i="91"/>
  <c r="D87" i="89"/>
  <c r="G60" i="11"/>
  <c r="F30" i="88"/>
  <c r="F37" i="88" s="1"/>
  <c r="G57" i="11"/>
  <c r="G29" i="11"/>
  <c r="G58" i="11"/>
  <c r="G105" i="11"/>
  <c r="G56" i="11"/>
  <c r="G59" i="11"/>
  <c r="D106" i="89"/>
  <c r="D61" i="89"/>
  <c r="D60" i="89"/>
  <c r="D59" i="89"/>
  <c r="D58" i="89"/>
  <c r="D57" i="89"/>
  <c r="D108" i="89" s="1"/>
  <c r="D29" i="89"/>
  <c r="D28" i="89"/>
  <c r="D106" i="88"/>
  <c r="D61" i="88"/>
  <c r="D60" i="88"/>
  <c r="D59" i="88"/>
  <c r="D58" i="88"/>
  <c r="D57" i="88"/>
  <c r="D29" i="88"/>
  <c r="D28" i="88"/>
  <c r="D30" i="88" s="1"/>
  <c r="F33" i="88" l="1"/>
  <c r="F40" i="88"/>
  <c r="F35" i="88"/>
  <c r="F39" i="88"/>
  <c r="F51" i="88"/>
  <c r="F34" i="88"/>
  <c r="F38" i="88"/>
  <c r="E30" i="88"/>
  <c r="E109" i="91"/>
  <c r="E110" i="91" s="1"/>
  <c r="E89" i="91"/>
  <c r="E92" i="91" s="1"/>
  <c r="E93" i="91" s="1"/>
  <c r="E94" i="91" s="1"/>
  <c r="E95" i="91" s="1"/>
  <c r="D89" i="91"/>
  <c r="D92" i="91" s="1"/>
  <c r="D93" i="91" s="1"/>
  <c r="D94" i="91" s="1"/>
  <c r="D95" i="91" s="1"/>
  <c r="D109" i="91"/>
  <c r="D110" i="91" s="1"/>
  <c r="E89" i="92"/>
  <c r="E92" i="92" s="1"/>
  <c r="E93" i="92" s="1"/>
  <c r="E109" i="92"/>
  <c r="E110" i="92" s="1"/>
  <c r="D109" i="92"/>
  <c r="D110" i="92" s="1"/>
  <c r="D89" i="92"/>
  <c r="D92" i="92" s="1"/>
  <c r="D93" i="92" s="1"/>
  <c r="F36" i="88"/>
  <c r="F41" i="88"/>
  <c r="F52" i="88" s="1"/>
  <c r="F54" i="88" s="1"/>
  <c r="D62" i="88"/>
  <c r="D108" i="88" s="1"/>
  <c r="G61" i="11"/>
  <c r="G107" i="11" s="1"/>
  <c r="D51" i="89"/>
  <c r="D40" i="89"/>
  <c r="D39" i="89"/>
  <c r="D38" i="89"/>
  <c r="D37" i="89"/>
  <c r="D36" i="89"/>
  <c r="D35" i="89"/>
  <c r="D34" i="89"/>
  <c r="D33" i="89"/>
  <c r="D51" i="88"/>
  <c r="D40" i="88"/>
  <c r="D39" i="88"/>
  <c r="D38" i="88"/>
  <c r="D37" i="88"/>
  <c r="D36" i="88"/>
  <c r="D35" i="88"/>
  <c r="D34" i="88"/>
  <c r="D33" i="88"/>
  <c r="E51" i="88" l="1"/>
  <c r="E36" i="88"/>
  <c r="E34" i="88"/>
  <c r="E33" i="88"/>
  <c r="E40" i="88"/>
  <c r="E38" i="88"/>
  <c r="E35" i="88"/>
  <c r="E39" i="88"/>
  <c r="E37" i="88"/>
  <c r="E94" i="92"/>
  <c r="E95" i="92" s="1"/>
  <c r="E98" i="92" s="1"/>
  <c r="E97" i="91"/>
  <c r="E101" i="91"/>
  <c r="E98" i="91"/>
  <c r="D94" i="92"/>
  <c r="D95" i="92" s="1"/>
  <c r="D98" i="91"/>
  <c r="D101" i="91"/>
  <c r="D97" i="91"/>
  <c r="D52" i="89"/>
  <c r="D41" i="88"/>
  <c r="D52" i="88" s="1"/>
  <c r="F107" i="88"/>
  <c r="F80" i="88"/>
  <c r="F74" i="88"/>
  <c r="F75" i="88" s="1"/>
  <c r="D54" i="88"/>
  <c r="E41" i="88" l="1"/>
  <c r="E52" i="88" s="1"/>
  <c r="E54" i="88" s="1"/>
  <c r="E97" i="92"/>
  <c r="E101" i="92"/>
  <c r="D102" i="91"/>
  <c r="D103" i="91" s="1"/>
  <c r="D111" i="91" s="1"/>
  <c r="D112" i="91" s="1"/>
  <c r="C21" i="87" s="1"/>
  <c r="D98" i="92"/>
  <c r="D97" i="92"/>
  <c r="D101" i="92"/>
  <c r="E102" i="91"/>
  <c r="E103" i="91" s="1"/>
  <c r="E111" i="91" s="1"/>
  <c r="E112" i="91" s="1"/>
  <c r="D107" i="89"/>
  <c r="D80" i="89"/>
  <c r="D74" i="89"/>
  <c r="D75" i="89" s="1"/>
  <c r="D107" i="88"/>
  <c r="D80" i="88"/>
  <c r="D74" i="88"/>
  <c r="D75" i="88" s="1"/>
  <c r="E74" i="88" l="1"/>
  <c r="E75" i="88" s="1"/>
  <c r="E107" i="88"/>
  <c r="E80" i="88"/>
  <c r="E102" i="92"/>
  <c r="E103" i="92" s="1"/>
  <c r="E111" i="92" s="1"/>
  <c r="E112" i="92" s="1"/>
  <c r="C37" i="87" s="1"/>
  <c r="F37" i="87" s="1"/>
  <c r="G37" i="87" s="1"/>
  <c r="H37" i="87" s="1"/>
  <c r="C36" i="87"/>
  <c r="F36" i="87" s="1"/>
  <c r="G36" i="87" s="1"/>
  <c r="H36" i="87" s="1"/>
  <c r="D102" i="92"/>
  <c r="D103" i="92" s="1"/>
  <c r="D111" i="92" s="1"/>
  <c r="D112" i="92" s="1"/>
  <c r="C22" i="87" s="1"/>
  <c r="E74" i="83"/>
  <c r="D18" i="67"/>
  <c r="D73" i="11"/>
  <c r="D74" i="11" s="1"/>
  <c r="D18" i="11"/>
  <c r="D48" i="11" l="1"/>
  <c r="D52" i="11" s="1"/>
  <c r="D25" i="11"/>
  <c r="D53" i="67"/>
  <c r="D105" i="11"/>
  <c r="D60" i="11"/>
  <c r="D59" i="11"/>
  <c r="D58" i="11"/>
  <c r="D57" i="11"/>
  <c r="D56" i="11"/>
  <c r="D29" i="11"/>
  <c r="D21" i="67"/>
  <c r="D25" i="67" s="1"/>
  <c r="C103" i="84"/>
  <c r="C95" i="84"/>
  <c r="C81" i="84"/>
  <c r="C75" i="84"/>
  <c r="C71" i="84"/>
  <c r="C41" i="84"/>
  <c r="C28" i="84"/>
  <c r="C30" i="84" s="1"/>
  <c r="E18" i="84"/>
  <c r="E21" i="84" s="1"/>
  <c r="C102" i="83"/>
  <c r="C94" i="83"/>
  <c r="C70" i="83"/>
  <c r="C78" i="83" s="1"/>
  <c r="C80" i="83" s="1"/>
  <c r="C41" i="83"/>
  <c r="C28" i="83"/>
  <c r="E18" i="83"/>
  <c r="D61" i="11" l="1"/>
  <c r="D107" i="11" s="1"/>
  <c r="D106" i="67"/>
  <c r="D61" i="67"/>
  <c r="D60" i="67"/>
  <c r="D59" i="67"/>
  <c r="D58" i="67"/>
  <c r="D57" i="67"/>
  <c r="D29" i="67"/>
  <c r="C30" i="83"/>
  <c r="E49" i="84"/>
  <c r="E53" i="84" s="1"/>
  <c r="E25" i="84"/>
  <c r="E25" i="83"/>
  <c r="E48" i="83"/>
  <c r="E52" i="83" s="1"/>
  <c r="D62" i="67" l="1"/>
  <c r="D108" i="67" s="1"/>
  <c r="E106" i="84"/>
  <c r="E61" i="84"/>
  <c r="E60" i="84"/>
  <c r="E59" i="84"/>
  <c r="E58" i="84"/>
  <c r="E57" i="84"/>
  <c r="E62" i="84" s="1"/>
  <c r="E108" i="84" s="1"/>
  <c r="E29" i="84"/>
  <c r="E28" i="84"/>
  <c r="E30" i="84" s="1"/>
  <c r="E105" i="83"/>
  <c r="E60" i="83"/>
  <c r="E59" i="83"/>
  <c r="E58" i="83"/>
  <c r="E57" i="83"/>
  <c r="E56" i="83"/>
  <c r="E61" i="83" s="1"/>
  <c r="E107" i="83" s="1"/>
  <c r="E29" i="83"/>
  <c r="E28" i="83"/>
  <c r="E30" i="83" s="1"/>
  <c r="E51" i="84" l="1"/>
  <c r="E40" i="84"/>
  <c r="E39" i="84"/>
  <c r="E38" i="84"/>
  <c r="E37" i="84"/>
  <c r="E36" i="84"/>
  <c r="E35" i="84"/>
  <c r="E34" i="84"/>
  <c r="E33" i="84"/>
  <c r="E41" i="84" s="1"/>
  <c r="E52" i="84" s="1"/>
  <c r="E50" i="83"/>
  <c r="E40" i="83"/>
  <c r="E39" i="83"/>
  <c r="E38" i="83"/>
  <c r="E37" i="83"/>
  <c r="E36" i="83"/>
  <c r="E35" i="83"/>
  <c r="E34" i="83"/>
  <c r="E33" i="83"/>
  <c r="E41" i="83" s="1"/>
  <c r="E51" i="83" s="1"/>
  <c r="E54" i="84" l="1"/>
  <c r="E53" i="83"/>
  <c r="E107" i="84" l="1"/>
  <c r="E80" i="84"/>
  <c r="E74" i="84"/>
  <c r="E75" i="84" s="1"/>
  <c r="E106" i="83"/>
  <c r="E79" i="83"/>
  <c r="F25" i="11" l="1"/>
  <c r="F73" i="11"/>
  <c r="F74" i="11" s="1"/>
  <c r="F60" i="11" l="1"/>
  <c r="F58" i="11"/>
  <c r="F57" i="11"/>
  <c r="F56" i="11"/>
  <c r="F105" i="11"/>
  <c r="F59" i="11"/>
  <c r="F48" i="11"/>
  <c r="F52" i="11" s="1"/>
  <c r="F29" i="11"/>
  <c r="F18" i="67"/>
  <c r="F21" i="67" s="1"/>
  <c r="F53" i="67" l="1"/>
  <c r="F61" i="11"/>
  <c r="F107" i="11" s="1"/>
  <c r="E85" i="84" l="1"/>
  <c r="E84" i="83"/>
  <c r="D85" i="89"/>
  <c r="F85" i="67"/>
  <c r="D85" i="67"/>
  <c r="F84" i="11"/>
  <c r="F88" i="11" s="1"/>
  <c r="F109" i="11" s="1"/>
  <c r="D84" i="11"/>
  <c r="C75" i="67"/>
  <c r="D85" i="84" l="1"/>
  <c r="D84" i="83"/>
  <c r="E85" i="67"/>
  <c r="H84" i="11"/>
  <c r="E84" i="11"/>
  <c r="E88" i="11" s="1"/>
  <c r="E109" i="11" s="1"/>
  <c r="F85" i="88"/>
  <c r="D85" i="88"/>
  <c r="D70" i="88" s="1"/>
  <c r="E85" i="88"/>
  <c r="G84" i="11"/>
  <c r="G88" i="11" s="1"/>
  <c r="G109" i="11" s="1"/>
  <c r="D88" i="11"/>
  <c r="D89" i="67"/>
  <c r="D89" i="88"/>
  <c r="D89" i="89"/>
  <c r="D70" i="89"/>
  <c r="D69" i="89"/>
  <c r="D68" i="89"/>
  <c r="D67" i="89"/>
  <c r="D66" i="89"/>
  <c r="D65" i="89"/>
  <c r="E69" i="83"/>
  <c r="E68" i="83"/>
  <c r="E67" i="83"/>
  <c r="E66" i="83"/>
  <c r="E65" i="83"/>
  <c r="E64" i="83"/>
  <c r="E88" i="83"/>
  <c r="E70" i="84"/>
  <c r="E69" i="84"/>
  <c r="E68" i="84"/>
  <c r="E67" i="84"/>
  <c r="E66" i="84"/>
  <c r="E65" i="84"/>
  <c r="E89" i="84"/>
  <c r="C70" i="11"/>
  <c r="C78" i="11" s="1"/>
  <c r="H88" i="11" l="1"/>
  <c r="E89" i="67"/>
  <c r="E68" i="67"/>
  <c r="E70" i="67"/>
  <c r="E66" i="67"/>
  <c r="E69" i="67"/>
  <c r="E65" i="67"/>
  <c r="E67" i="67"/>
  <c r="D65" i="88"/>
  <c r="D69" i="88"/>
  <c r="D68" i="83"/>
  <c r="D67" i="83"/>
  <c r="D64" i="83"/>
  <c r="D65" i="83"/>
  <c r="D69" i="83"/>
  <c r="D66" i="83"/>
  <c r="D88" i="83"/>
  <c r="D66" i="88"/>
  <c r="D67" i="88"/>
  <c r="D68" i="88"/>
  <c r="D71" i="89"/>
  <c r="D65" i="84"/>
  <c r="D70" i="84"/>
  <c r="D66" i="84"/>
  <c r="D69" i="84"/>
  <c r="D68" i="84"/>
  <c r="D67" i="84"/>
  <c r="D89" i="84"/>
  <c r="D79" i="89"/>
  <c r="D81" i="89" s="1"/>
  <c r="E71" i="84"/>
  <c r="E79" i="84" s="1"/>
  <c r="E81" i="84" s="1"/>
  <c r="E82" i="84" s="1"/>
  <c r="E109" i="84" s="1"/>
  <c r="E70" i="83"/>
  <c r="E78" i="83" s="1"/>
  <c r="E80" i="83" s="1"/>
  <c r="E81" i="83" s="1"/>
  <c r="E108" i="83" s="1"/>
  <c r="E70" i="88"/>
  <c r="E69" i="88"/>
  <c r="E68" i="88"/>
  <c r="E67" i="88"/>
  <c r="E66" i="88"/>
  <c r="E65" i="88"/>
  <c r="E89" i="88"/>
  <c r="F89" i="88"/>
  <c r="F70" i="88"/>
  <c r="F69" i="88"/>
  <c r="F68" i="88"/>
  <c r="F67" i="88"/>
  <c r="F66" i="88"/>
  <c r="F65" i="88"/>
  <c r="E110" i="84"/>
  <c r="E109" i="83"/>
  <c r="D110" i="89"/>
  <c r="D110" i="88"/>
  <c r="D110" i="67"/>
  <c r="D109" i="11"/>
  <c r="C71" i="67"/>
  <c r="C79" i="67" s="1"/>
  <c r="D71" i="88" l="1"/>
  <c r="D79" i="88" s="1"/>
  <c r="D81" i="88" s="1"/>
  <c r="D82" i="88" s="1"/>
  <c r="D109" i="88" s="1"/>
  <c r="D110" i="84"/>
  <c r="E110" i="67"/>
  <c r="D70" i="83"/>
  <c r="D78" i="83" s="1"/>
  <c r="D80" i="83" s="1"/>
  <c r="D81" i="83" s="1"/>
  <c r="D108" i="83" s="1"/>
  <c r="H109" i="11"/>
  <c r="D71" i="84"/>
  <c r="D79" i="84" s="1"/>
  <c r="D81" i="84" s="1"/>
  <c r="D82" i="84" s="1"/>
  <c r="D109" i="84" s="1"/>
  <c r="D109" i="83"/>
  <c r="D110" i="83" s="1"/>
  <c r="D89" i="83"/>
  <c r="D92" i="83" s="1"/>
  <c r="D93" i="83" s="1"/>
  <c r="D94" i="83" s="1"/>
  <c r="D95" i="83" s="1"/>
  <c r="E71" i="67"/>
  <c r="E79" i="67" s="1"/>
  <c r="E81" i="67" s="1"/>
  <c r="E82" i="67" s="1"/>
  <c r="E109" i="67" s="1"/>
  <c r="D82" i="89"/>
  <c r="E89" i="83"/>
  <c r="E92" i="83" s="1"/>
  <c r="E110" i="83"/>
  <c r="D111" i="88"/>
  <c r="E71" i="88"/>
  <c r="E79" i="88" s="1"/>
  <c r="E81" i="88" s="1"/>
  <c r="E82" i="88" s="1"/>
  <c r="E109" i="88" s="1"/>
  <c r="F71" i="88"/>
  <c r="F79" i="88" s="1"/>
  <c r="F81" i="88" s="1"/>
  <c r="F82" i="88" s="1"/>
  <c r="F109" i="88" s="1"/>
  <c r="E111" i="84"/>
  <c r="E90" i="84"/>
  <c r="E93" i="84" s="1"/>
  <c r="E94" i="84" s="1"/>
  <c r="F110" i="88"/>
  <c r="E110" i="88"/>
  <c r="C103" i="67"/>
  <c r="C95" i="67"/>
  <c r="C41" i="67"/>
  <c r="C81" i="67" s="1"/>
  <c r="C28" i="67"/>
  <c r="D28" i="67" s="1"/>
  <c r="D30" i="67" s="1"/>
  <c r="D90" i="88" l="1"/>
  <c r="D93" i="88" s="1"/>
  <c r="D94" i="88" s="1"/>
  <c r="D95" i="88" s="1"/>
  <c r="D96" i="88" s="1"/>
  <c r="D102" i="88" s="1"/>
  <c r="E111" i="67"/>
  <c r="D51" i="67"/>
  <c r="D33" i="67"/>
  <c r="D39" i="67"/>
  <c r="D35" i="67"/>
  <c r="D34" i="67"/>
  <c r="D37" i="67"/>
  <c r="D40" i="67"/>
  <c r="D38" i="67"/>
  <c r="D36" i="67"/>
  <c r="D97" i="83"/>
  <c r="D98" i="83"/>
  <c r="D101" i="83"/>
  <c r="D90" i="84"/>
  <c r="D93" i="84" s="1"/>
  <c r="D94" i="84" s="1"/>
  <c r="D95" i="84" s="1"/>
  <c r="D96" i="84" s="1"/>
  <c r="E90" i="67"/>
  <c r="E93" i="67" s="1"/>
  <c r="E94" i="67" s="1"/>
  <c r="E95" i="67" s="1"/>
  <c r="E96" i="67" s="1"/>
  <c r="D111" i="84"/>
  <c r="D109" i="89"/>
  <c r="D111" i="89" s="1"/>
  <c r="D90" i="89"/>
  <c r="D93" i="89" s="1"/>
  <c r="D94" i="89" s="1"/>
  <c r="D95" i="89" s="1"/>
  <c r="D96" i="89" s="1"/>
  <c r="D98" i="89" s="1"/>
  <c r="E90" i="88"/>
  <c r="E93" i="88" s="1"/>
  <c r="E94" i="88" s="1"/>
  <c r="E95" i="88" s="1"/>
  <c r="E96" i="88" s="1"/>
  <c r="E111" i="88"/>
  <c r="F111" i="88"/>
  <c r="F90" i="88"/>
  <c r="F93" i="88" s="1"/>
  <c r="F94" i="88" s="1"/>
  <c r="F95" i="88" s="1"/>
  <c r="F96" i="88" s="1"/>
  <c r="E93" i="83"/>
  <c r="E94" i="83" s="1"/>
  <c r="E95" i="83" s="1"/>
  <c r="E95" i="84"/>
  <c r="E96" i="84" s="1"/>
  <c r="E102" i="84" s="1"/>
  <c r="F25" i="67"/>
  <c r="C30" i="67"/>
  <c r="D98" i="88" l="1"/>
  <c r="D99" i="88"/>
  <c r="D41" i="67"/>
  <c r="D99" i="84"/>
  <c r="D102" i="84"/>
  <c r="D98" i="84"/>
  <c r="D102" i="83"/>
  <c r="D103" i="83" s="1"/>
  <c r="D111" i="83" s="1"/>
  <c r="D112" i="83" s="1"/>
  <c r="E99" i="67"/>
  <c r="E98" i="67"/>
  <c r="E102" i="67"/>
  <c r="D102" i="89"/>
  <c r="D99" i="89"/>
  <c r="E98" i="84"/>
  <c r="E99" i="84"/>
  <c r="E97" i="83"/>
  <c r="E101" i="83"/>
  <c r="E98" i="83"/>
  <c r="F102" i="88"/>
  <c r="F99" i="88"/>
  <c r="F98" i="88"/>
  <c r="E102" i="88"/>
  <c r="E99" i="88"/>
  <c r="E98" i="88"/>
  <c r="F22" i="87"/>
  <c r="G22" i="87" s="1"/>
  <c r="H22" i="87" s="1"/>
  <c r="D52" i="67"/>
  <c r="D54" i="67" s="1"/>
  <c r="F28" i="67"/>
  <c r="F29" i="67"/>
  <c r="F57" i="67"/>
  <c r="F58" i="67"/>
  <c r="F59" i="67"/>
  <c r="F60" i="67"/>
  <c r="F61" i="67"/>
  <c r="F106" i="67"/>
  <c r="F89" i="67"/>
  <c r="F110" i="67" s="1"/>
  <c r="D103" i="84" l="1"/>
  <c r="D104" i="84" s="1"/>
  <c r="D112" i="84" s="1"/>
  <c r="D113" i="84" s="1"/>
  <c r="E103" i="84"/>
  <c r="E104" i="84" s="1"/>
  <c r="E112" i="84" s="1"/>
  <c r="E113" i="84" s="1"/>
  <c r="D103" i="88"/>
  <c r="D104" i="88" s="1"/>
  <c r="D112" i="88" s="1"/>
  <c r="D113" i="88" s="1"/>
  <c r="C29" i="87" s="1"/>
  <c r="F29" i="87" s="1"/>
  <c r="G29" i="87" s="1"/>
  <c r="H29" i="87" s="1"/>
  <c r="D103" i="89"/>
  <c r="D104" i="89" s="1"/>
  <c r="D112" i="89" s="1"/>
  <c r="D113" i="89" s="1"/>
  <c r="C19" i="87"/>
  <c r="F19" i="87" s="1"/>
  <c r="G19" i="87" s="1"/>
  <c r="H19" i="87" s="1"/>
  <c r="C20" i="87"/>
  <c r="F20" i="87" s="1"/>
  <c r="G20" i="87" s="1"/>
  <c r="H20" i="87" s="1"/>
  <c r="C35" i="87"/>
  <c r="F35" i="87" s="1"/>
  <c r="G35" i="87" s="1"/>
  <c r="H35" i="87" s="1"/>
  <c r="E103" i="67"/>
  <c r="E104" i="67" s="1"/>
  <c r="E112" i="67" s="1"/>
  <c r="E113" i="67" s="1"/>
  <c r="C18" i="87" s="1"/>
  <c r="E102" i="83"/>
  <c r="E103" i="83" s="1"/>
  <c r="E111" i="83" s="1"/>
  <c r="E112" i="83" s="1"/>
  <c r="C34" i="87" s="1"/>
  <c r="F103" i="88"/>
  <c r="F104" i="88" s="1"/>
  <c r="F112" i="88" s="1"/>
  <c r="F113" i="88" s="1"/>
  <c r="C15" i="87" s="1"/>
  <c r="E103" i="88"/>
  <c r="E104" i="88" s="1"/>
  <c r="E112" i="88" s="1"/>
  <c r="E113" i="88" s="1"/>
  <c r="C25" i="87" s="1"/>
  <c r="D107" i="67"/>
  <c r="D80" i="67"/>
  <c r="D74" i="67"/>
  <c r="D75" i="67" s="1"/>
  <c r="D70" i="67"/>
  <c r="D69" i="67"/>
  <c r="D68" i="67"/>
  <c r="D67" i="67"/>
  <c r="D66" i="67"/>
  <c r="D65" i="67"/>
  <c r="F62" i="67"/>
  <c r="F108" i="67" s="1"/>
  <c r="F30" i="67"/>
  <c r="C30" i="87" l="1"/>
  <c r="F30" i="87" s="1"/>
  <c r="G30" i="87" s="1"/>
  <c r="H30" i="87" s="1"/>
  <c r="F21" i="87"/>
  <c r="G21" i="87" s="1"/>
  <c r="H21" i="87" s="1"/>
  <c r="F34" i="87"/>
  <c r="G34" i="87" s="1"/>
  <c r="H34" i="87" s="1"/>
  <c r="F25" i="87"/>
  <c r="G25" i="87" s="1"/>
  <c r="H25" i="87" s="1"/>
  <c r="F15" i="87"/>
  <c r="G15" i="87" s="1"/>
  <c r="H15" i="87" s="1"/>
  <c r="D71" i="67"/>
  <c r="D79" i="67" s="1"/>
  <c r="D81" i="67" s="1"/>
  <c r="D82" i="67" s="1"/>
  <c r="D109" i="67" s="1"/>
  <c r="D111" i="67" s="1"/>
  <c r="F51" i="67"/>
  <c r="F33" i="67"/>
  <c r="F34" i="67"/>
  <c r="F35" i="67"/>
  <c r="F36" i="67"/>
  <c r="F37" i="67"/>
  <c r="F38" i="67"/>
  <c r="F39" i="67"/>
  <c r="F40" i="67"/>
  <c r="D90" i="67" l="1"/>
  <c r="F41" i="67"/>
  <c r="F52" i="67" s="1"/>
  <c r="F54" i="67" s="1"/>
  <c r="D93" i="67" l="1"/>
  <c r="D94" i="67" s="1"/>
  <c r="F107" i="67"/>
  <c r="F65" i="67"/>
  <c r="F66" i="67"/>
  <c r="F67" i="67"/>
  <c r="F68" i="67"/>
  <c r="F69" i="67"/>
  <c r="F70" i="67"/>
  <c r="F74" i="67"/>
  <c r="F75" i="67" s="1"/>
  <c r="F80" i="67"/>
  <c r="D95" i="67" l="1"/>
  <c r="D96" i="67" s="1"/>
  <c r="F18" i="87"/>
  <c r="G18" i="87" s="1"/>
  <c r="H18" i="87" s="1"/>
  <c r="F71" i="67"/>
  <c r="F79" i="67" s="1"/>
  <c r="F81" i="67" s="1"/>
  <c r="F82" i="67" s="1"/>
  <c r="D102" i="67" l="1"/>
  <c r="D98" i="67"/>
  <c r="D99" i="67"/>
  <c r="F90" i="67"/>
  <c r="F109" i="67"/>
  <c r="F111" i="67" s="1"/>
  <c r="D103" i="67" l="1"/>
  <c r="D104" i="67" s="1"/>
  <c r="D112" i="67" s="1"/>
  <c r="D113" i="67" s="1"/>
  <c r="C28" i="87" s="1"/>
  <c r="F93" i="67"/>
  <c r="F94" i="67" s="1"/>
  <c r="F95" i="67" s="1"/>
  <c r="F96" i="67" s="1"/>
  <c r="F98" i="67" l="1"/>
  <c r="F99" i="67"/>
  <c r="F102" i="67"/>
  <c r="F103" i="67" l="1"/>
  <c r="F104" i="67" s="1"/>
  <c r="F112" i="67" s="1"/>
  <c r="F113" i="67" s="1"/>
  <c r="C33" i="87" l="1"/>
  <c r="F33" i="87" s="1"/>
  <c r="G33" i="87" s="1"/>
  <c r="H33" i="87" s="1"/>
  <c r="F28" i="87"/>
  <c r="G28" i="87" s="1"/>
  <c r="H28" i="87" s="1"/>
  <c r="C102" i="11"/>
  <c r="C94" i="11" s="1"/>
  <c r="C28" i="11"/>
  <c r="C41" i="11"/>
  <c r="C80" i="11" s="1"/>
  <c r="E28" i="11" l="1"/>
  <c r="E30" i="11" s="1"/>
  <c r="H28" i="11"/>
  <c r="H30" i="11" s="1"/>
  <c r="E39" i="11"/>
  <c r="E33" i="11"/>
  <c r="E38" i="11"/>
  <c r="E36" i="11"/>
  <c r="E40" i="11"/>
  <c r="E35" i="11"/>
  <c r="E34" i="11"/>
  <c r="E37" i="11"/>
  <c r="E50" i="11"/>
  <c r="D28" i="11"/>
  <c r="D30" i="11" s="1"/>
  <c r="D50" i="11" s="1"/>
  <c r="G28" i="11"/>
  <c r="G30" i="11" s="1"/>
  <c r="F28" i="11"/>
  <c r="F30" i="11" s="1"/>
  <c r="C30" i="11"/>
  <c r="H50" i="11" l="1"/>
  <c r="H37" i="11"/>
  <c r="H34" i="11"/>
  <c r="H36" i="11"/>
  <c r="H40" i="11"/>
  <c r="H35" i="11"/>
  <c r="H33" i="11"/>
  <c r="H38" i="11"/>
  <c r="H39" i="11"/>
  <c r="D38" i="11"/>
  <c r="D37" i="11"/>
  <c r="D36" i="11"/>
  <c r="D35" i="11"/>
  <c r="D34" i="11"/>
  <c r="D40" i="11"/>
  <c r="D39" i="11"/>
  <c r="D33" i="11"/>
  <c r="E41" i="11"/>
  <c r="E51" i="11" s="1"/>
  <c r="E53" i="11" s="1"/>
  <c r="G34" i="11"/>
  <c r="G35" i="11"/>
  <c r="G37" i="11"/>
  <c r="G38" i="11"/>
  <c r="G33" i="11"/>
  <c r="G36" i="11"/>
  <c r="G40" i="11"/>
  <c r="G39" i="11"/>
  <c r="G50" i="11"/>
  <c r="F33" i="11"/>
  <c r="F34" i="11"/>
  <c r="F35" i="11"/>
  <c r="F36" i="11"/>
  <c r="F37" i="11"/>
  <c r="F38" i="11"/>
  <c r="F39" i="11"/>
  <c r="F40" i="11"/>
  <c r="F50" i="11"/>
  <c r="D13" i="2"/>
  <c r="D12" i="2"/>
  <c r="D11" i="2"/>
  <c r="D10" i="2"/>
  <c r="D9" i="2"/>
  <c r="D8" i="2"/>
  <c r="H41" i="11" l="1"/>
  <c r="H51" i="11" s="1"/>
  <c r="H53" i="11" s="1"/>
  <c r="F41" i="11"/>
  <c r="F51" i="11" s="1"/>
  <c r="F53" i="11" s="1"/>
  <c r="G41" i="11"/>
  <c r="G51" i="11" s="1"/>
  <c r="G53" i="11" s="1"/>
  <c r="D41" i="11"/>
  <c r="D51" i="11" s="1"/>
  <c r="D53" i="11" s="1"/>
  <c r="D79" i="11" s="1"/>
  <c r="E106" i="11"/>
  <c r="E69" i="11"/>
  <c r="E66" i="11"/>
  <c r="E64" i="11"/>
  <c r="E68" i="11"/>
  <c r="E79" i="11"/>
  <c r="E67" i="11"/>
  <c r="E65" i="11"/>
  <c r="H106" i="11" l="1"/>
  <c r="H79" i="11"/>
  <c r="H68" i="11"/>
  <c r="H65" i="11"/>
  <c r="H64" i="11"/>
  <c r="H67" i="11"/>
  <c r="H66" i="11"/>
  <c r="H69" i="11"/>
  <c r="D106" i="11"/>
  <c r="D65" i="11"/>
  <c r="D66" i="11"/>
  <c r="D68" i="11"/>
  <c r="D67" i="11"/>
  <c r="D64" i="11"/>
  <c r="E70" i="11"/>
  <c r="E78" i="11" s="1"/>
  <c r="E80" i="11" s="1"/>
  <c r="E81" i="11" s="1"/>
  <c r="D69" i="11"/>
  <c r="G106" i="11"/>
  <c r="G79" i="11"/>
  <c r="G69" i="11"/>
  <c r="G68" i="11"/>
  <c r="G67" i="11"/>
  <c r="G66" i="11"/>
  <c r="G65" i="11"/>
  <c r="G64" i="11"/>
  <c r="F64" i="11"/>
  <c r="F65" i="11"/>
  <c r="F66" i="11"/>
  <c r="F67" i="11"/>
  <c r="F68" i="11"/>
  <c r="F69" i="11"/>
  <c r="F79" i="11"/>
  <c r="F106" i="11"/>
  <c r="H70" i="11" l="1"/>
  <c r="H78" i="11" s="1"/>
  <c r="H80" i="11" s="1"/>
  <c r="H81" i="11" s="1"/>
  <c r="E108" i="11"/>
  <c r="E110" i="11" s="1"/>
  <c r="E89" i="11"/>
  <c r="G70" i="11"/>
  <c r="G78" i="11" s="1"/>
  <c r="G80" i="11" s="1"/>
  <c r="G81" i="11" s="1"/>
  <c r="G108" i="11" s="1"/>
  <c r="G110" i="11" s="1"/>
  <c r="D70" i="11"/>
  <c r="D78" i="11" s="1"/>
  <c r="D80" i="11" s="1"/>
  <c r="D81" i="11" s="1"/>
  <c r="F70" i="11"/>
  <c r="F78" i="11" s="1"/>
  <c r="F80" i="11" s="1"/>
  <c r="F81" i="11" s="1"/>
  <c r="H108" i="11" l="1"/>
  <c r="H110" i="11" s="1"/>
  <c r="H89" i="11"/>
  <c r="H92" i="11" s="1"/>
  <c r="H93" i="11" s="1"/>
  <c r="H94" i="11" s="1"/>
  <c r="H95" i="11" s="1"/>
  <c r="G89" i="11"/>
  <c r="G92" i="11" s="1"/>
  <c r="G93" i="11" s="1"/>
  <c r="G94" i="11" s="1"/>
  <c r="G95" i="11" s="1"/>
  <c r="D89" i="11"/>
  <c r="D92" i="11" s="1"/>
  <c r="D93" i="11" s="1"/>
  <c r="D94" i="11" s="1"/>
  <c r="D95" i="11" s="1"/>
  <c r="D101" i="11" s="1"/>
  <c r="D108" i="11"/>
  <c r="D110" i="11" s="1"/>
  <c r="E92" i="11"/>
  <c r="E93" i="11" s="1"/>
  <c r="F89" i="11"/>
  <c r="F108" i="11"/>
  <c r="F110" i="11" s="1"/>
  <c r="H101" i="11" l="1"/>
  <c r="H98" i="11"/>
  <c r="H97" i="11"/>
  <c r="H102" i="11" s="1"/>
  <c r="H103" i="11" s="1"/>
  <c r="H111" i="11" s="1"/>
  <c r="H112" i="11" s="1"/>
  <c r="D97" i="11"/>
  <c r="D98" i="11"/>
  <c r="E94" i="11"/>
  <c r="E95" i="11" s="1"/>
  <c r="E98" i="11" s="1"/>
  <c r="G101" i="11"/>
  <c r="G98" i="11"/>
  <c r="G97" i="11"/>
  <c r="F92" i="11"/>
  <c r="F93" i="11" s="1"/>
  <c r="F94" i="11" s="1"/>
  <c r="F95" i="11" s="1"/>
  <c r="D102" i="11" l="1"/>
  <c r="D103" i="11" s="1"/>
  <c r="D111" i="11" s="1"/>
  <c r="D112" i="11" s="1"/>
  <c r="C27" i="87" s="1"/>
  <c r="C14" i="87"/>
  <c r="F3" i="87"/>
  <c r="F6" i="87"/>
  <c r="E101" i="11"/>
  <c r="E97" i="11"/>
  <c r="G102" i="11"/>
  <c r="G103" i="11" s="1"/>
  <c r="G111" i="11" s="1"/>
  <c r="G112" i="11" s="1"/>
  <c r="C24" i="87" s="1"/>
  <c r="F97" i="11"/>
  <c r="F98" i="11"/>
  <c r="F101" i="11"/>
  <c r="E102" i="11" l="1"/>
  <c r="E103" i="11" s="1"/>
  <c r="E111" i="11" s="1"/>
  <c r="E112" i="11" s="1"/>
  <c r="C17" i="87" s="1"/>
  <c r="F17" i="87" s="1"/>
  <c r="G17" i="87" s="1"/>
  <c r="H17" i="87" s="1"/>
  <c r="F24" i="87"/>
  <c r="G24" i="87" s="1"/>
  <c r="H24" i="87" s="1"/>
  <c r="F5" i="87"/>
  <c r="G5" i="87" s="1"/>
  <c r="H5" i="87" s="1"/>
  <c r="G3" i="87"/>
  <c r="H3" i="87" s="1"/>
  <c r="F14" i="87"/>
  <c r="G14" i="87" s="1"/>
  <c r="H14" i="87" s="1"/>
  <c r="F102" i="11"/>
  <c r="F103" i="11" s="1"/>
  <c r="F111" i="11" s="1"/>
  <c r="F4" i="87" l="1"/>
  <c r="G4" i="87" s="1"/>
  <c r="H4" i="87" s="1"/>
  <c r="F112" i="11"/>
  <c r="C32" i="87" s="1"/>
  <c r="G6" i="87"/>
  <c r="F27" i="87"/>
  <c r="G27" i="87" s="1"/>
  <c r="H27" i="87" s="1"/>
  <c r="F32" i="87" l="1"/>
  <c r="G32" i="87" s="1"/>
  <c r="H32" i="87" s="1"/>
  <c r="H38" i="87" s="1"/>
  <c r="F7" i="87"/>
  <c r="H6" i="87"/>
  <c r="G7" i="87" l="1"/>
  <c r="H7" i="87" s="1"/>
  <c r="H8" i="87" s="1"/>
</calcChain>
</file>

<file path=xl/sharedStrings.xml><?xml version="1.0" encoding="utf-8"?>
<sst xmlns="http://schemas.openxmlformats.org/spreadsheetml/2006/main" count="1920" uniqueCount="309">
  <si>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</si>
  <si>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</si>
  <si>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</si>
  <si>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</si>
  <si>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</si>
  <si>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</si>
  <si>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</si>
  <si>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</si>
  <si>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</si>
  <si>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</si>
  <si>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</si>
  <si>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</si>
  <si>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</si>
  <si>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</si>
  <si>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</si>
  <si>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</si>
  <si>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</si>
  <si>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</si>
  <si>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</si>
  <si>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</si>
  <si>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</si>
  <si>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</si>
  <si>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</si>
  <si>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</si>
  <si>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</si>
  <si>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</si>
  <si>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</si>
  <si>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</si>
  <si>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</si>
  <si>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</si>
  <si>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</si>
  <si>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</si>
  <si>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</si>
  <si>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</si>
  <si>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</si>
  <si>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</si>
  <si>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</si>
  <si>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</si>
  <si>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</si>
  <si>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</si>
  <si>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</si>
  <si>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</si>
  <si>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C1. Tributos Federais</t>
  </si>
  <si>
    <t>C.2 Tributos Estaduais (especificar)</t>
  </si>
  <si>
    <t xml:space="preserve">C.3 Tributos Municipais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</si>
  <si>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</si>
  <si>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</si>
  <si>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</si>
  <si>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</si>
  <si>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</si>
  <si>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</si>
  <si>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</si>
  <si>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</si>
  <si>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</si>
  <si>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</si>
  <si>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</si>
  <si>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</si>
  <si>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</si>
  <si>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</si>
  <si>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</si>
  <si>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</si>
  <si>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</si>
  <si>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</si>
  <si>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</si>
  <si>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</si>
  <si>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</si>
  <si>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</si>
  <si>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</si>
  <si>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</si>
  <si>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</si>
  <si>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</si>
  <si>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</si>
  <si>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</si>
  <si>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</si>
  <si>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</si>
  <si>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</si>
  <si>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</si>
  <si>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</si>
  <si>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</si>
  <si>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</si>
  <si>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</si>
  <si>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</si>
  <si>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</si>
  <si>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</si>
  <si>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</si>
  <si>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</si>
  <si>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</si>
  <si>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</si>
  <si>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</si>
  <si>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</si>
  <si>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</si>
  <si>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</si>
  <si>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</si>
  <si>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</si>
  <si>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</si>
  <si>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</si>
  <si>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</si>
  <si>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</si>
  <si>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</si>
  <si>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</si>
  <si>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</si>
  <si>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</si>
  <si>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</si>
  <si>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</si>
  <si>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</si>
  <si>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</si>
  <si>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</si>
  <si>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</si>
  <si>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</si>
  <si>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</si>
  <si>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</si>
  <si>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</si>
  <si>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</si>
  <si>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</si>
  <si>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</si>
  <si>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</si>
  <si>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</si>
  <si>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</si>
  <si>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</si>
  <si>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</si>
  <si>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</si>
  <si>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</si>
  <si>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</si>
  <si>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</si>
  <si>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</si>
  <si>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</si>
  <si>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</si>
  <si>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</si>
  <si>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</si>
  <si>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</si>
  <si>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 xml:space="preserve">C1-A  (PIS 0,65)   </t>
  </si>
  <si>
    <t>C1. B  (COFINS 3,0)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</si>
  <si>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</si>
  <si>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</si>
  <si>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</si>
  <si>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</si>
  <si>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</si>
  <si>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</si>
  <si>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</si>
  <si>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</si>
  <si>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</si>
  <si>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</si>
  <si>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 xml:space="preserve">C3-A (ISS 5,0) </t>
  </si>
  <si>
    <r>
      <t>N</t>
    </r>
    <r>
      <rPr>
        <strike/>
        <sz val="12"/>
        <rFont val="Calibri"/>
        <family val="2"/>
        <scheme val="minor"/>
      </rPr>
      <t>º</t>
    </r>
    <r>
      <rPr>
        <sz val="12"/>
        <rFont val="Calibri"/>
        <family val="2"/>
        <scheme val="minor"/>
      </rPr>
      <t xml:space="preserve"> de meses de execução contratual</t>
    </r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</si>
  <si>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</si>
  <si>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</si>
  <si>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</si>
  <si>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</si>
  <si>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</si>
  <si>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</si>
  <si>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</si>
  <si>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</si>
  <si>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</si>
  <si>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</si>
  <si>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</si>
  <si>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</si>
  <si>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</si>
  <si>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</si>
  <si>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</si>
  <si>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</si>
  <si>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</si>
  <si>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</si>
  <si>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</si>
  <si>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</si>
  <si>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</si>
  <si>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</si>
  <si>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</si>
  <si>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</si>
  <si>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</si>
  <si>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</si>
  <si>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</si>
  <si>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</si>
  <si>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</si>
  <si>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</si>
  <si>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</si>
  <si>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</si>
  <si>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</si>
  <si>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</si>
  <si>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</si>
  <si>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</si>
  <si>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</si>
  <si>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</si>
  <si>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</si>
  <si>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</si>
  <si>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</si>
  <si>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</si>
  <si>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</si>
  <si>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</si>
  <si>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</si>
  <si>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</si>
  <si>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</si>
  <si>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</si>
  <si>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</si>
  <si>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</si>
  <si>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</si>
  <si>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</si>
  <si>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</si>
  <si>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</si>
  <si>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</si>
  <si>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</si>
  <si>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</si>
  <si>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</si>
  <si>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</si>
  <si>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</si>
  <si>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</si>
  <si>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</si>
  <si>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</si>
  <si>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r>
      <rPr>
        <b/>
        <sz val="12"/>
        <rFont val="Calibri"/>
        <family val="2"/>
        <scheme val="minor"/>
      </rPr>
      <t>INSS</t>
    </r>
    <r>
      <rPr>
        <sz val="12"/>
        <rFont val="Calibri"/>
        <family val="2"/>
        <scheme val="minor"/>
      </rPr>
      <t xml:space="preserve"> (20%)</t>
    </r>
  </si>
  <si>
    <r>
      <rPr>
        <b/>
        <sz val="12"/>
        <rFont val="Calibri"/>
        <family val="2"/>
        <scheme val="minor"/>
      </rPr>
      <t>SESI OU SESC</t>
    </r>
    <r>
      <rPr>
        <sz val="12"/>
        <rFont val="Calibri"/>
        <family val="2"/>
        <scheme val="minor"/>
      </rPr>
      <t xml:space="preserve"> (1,5%)</t>
    </r>
  </si>
  <si>
    <r>
      <rPr>
        <b/>
        <sz val="12"/>
        <rFont val="Calibri"/>
        <family val="2"/>
        <scheme val="minor"/>
      </rPr>
      <t>SENAI OU SENAC</t>
    </r>
    <r>
      <rPr>
        <sz val="12"/>
        <rFont val="Calibri"/>
        <family val="2"/>
        <scheme val="minor"/>
      </rPr>
      <t xml:space="preserve"> (1,0%)</t>
    </r>
  </si>
  <si>
    <r>
      <rPr>
        <b/>
        <sz val="12"/>
        <rFont val="Calibri"/>
        <family val="2"/>
        <scheme val="minor"/>
      </rPr>
      <t xml:space="preserve">INCRA </t>
    </r>
    <r>
      <rPr>
        <sz val="12"/>
        <rFont val="Calibri"/>
        <family val="2"/>
        <scheme val="minor"/>
      </rPr>
      <t>(0,20% ou  2,7%) - IN nº971, MPS/SRP/2009, Anexo I e II ver código da Tabela</t>
    </r>
  </si>
  <si>
    <r>
      <rPr>
        <b/>
        <sz val="12"/>
        <rFont val="Calibri"/>
        <family val="2"/>
        <scheme val="minor"/>
      </rPr>
      <t>SALÁRIO EDUCAÇÃO</t>
    </r>
    <r>
      <rPr>
        <sz val="12"/>
        <rFont val="Calibri"/>
        <family val="2"/>
        <scheme val="minor"/>
      </rPr>
      <t xml:space="preserve"> (2,5%)</t>
    </r>
  </si>
  <si>
    <t xml:space="preserve">FGTS (8,0%) </t>
  </si>
  <si>
    <r>
      <rPr>
        <b/>
        <sz val="12"/>
        <rFont val="Calibri"/>
        <family val="2"/>
        <scheme val="minor"/>
      </rPr>
      <t>RAT X SAT (Conforme GFIP)</t>
    </r>
    <r>
      <rPr>
        <sz val="12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</si>
  <si>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</si>
  <si>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</si>
  <si>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</si>
  <si>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</si>
  <si>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</si>
  <si>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</si>
  <si>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</si>
  <si>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</si>
  <si>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</si>
  <si>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</si>
  <si>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</si>
  <si>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</si>
  <si>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</si>
  <si>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</si>
  <si>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</si>
  <si>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</si>
  <si>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</si>
  <si>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</si>
  <si>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</si>
  <si>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Técnico de Enfermagem - Noturno</t>
  </si>
  <si>
    <t>Técnico de Enfermagem - Diurno</t>
  </si>
  <si>
    <t>Ambulância Tipo D</t>
  </si>
  <si>
    <t>Enfermeiro - Noturno</t>
  </si>
  <si>
    <t>Ambulancia de Suporte Avançado tipo "D"</t>
  </si>
  <si>
    <t>TOTAL MENSAL POR  FUNCIONÁRIO HRRO - AMBULANCIA TIPO "B"</t>
  </si>
  <si>
    <t>TOTAL MENSAL POR  FUNCIONÁRIO HRRO - AMBULANCIA TIPO "D"</t>
  </si>
  <si>
    <t>TOTAL MENSAL POR  FUNCIONÁRIO POC - AMBULANCIA TIPO "B"</t>
  </si>
  <si>
    <t>TOTAL MENSAL POR  FUNCIONÁRIO HRE - AMBULANCIA TIPO "B"</t>
  </si>
  <si>
    <t>40% * 1.412,00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</si>
  <si>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</si>
  <si>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</si>
  <si>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</si>
  <si>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</si>
  <si>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"B"</t>
  </si>
  <si>
    <t>Ambulância Tipo "D"</t>
  </si>
  <si>
    <t>INFORMAÇÃO: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</si>
  <si>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</si>
  <si>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</si>
  <si>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</si>
  <si>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</si>
  <si>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>LOTE III - HOSPITAL RETAGUARDA DE RONDÔNIA-HRRO, POLICLÍNICA OSWALDO CRUZ-POC E HOSPITAL REGIONAL DE EXTREMA-HRE</t>
  </si>
  <si>
    <t>VALOR TOTAL (R$) - LOTE III:</t>
  </si>
  <si>
    <t>Médico - Diurno</t>
  </si>
  <si>
    <t>Médico - Noturno</t>
  </si>
  <si>
    <t>ITEM</t>
  </si>
  <si>
    <t>DEFINIÇÃO/CLASSIFICAÇÃO DOS VEÍCULO/AMBULÂNCIA</t>
  </si>
  <si>
    <t>UNIDADE</t>
  </si>
  <si>
    <t>QUANTIDADE</t>
  </si>
  <si>
    <t xml:space="preserve">VALOR UNITÁRIO (R$) </t>
  </si>
  <si>
    <t>HRRO - TIPO "B"</t>
  </si>
  <si>
    <t>HRRO - TIPO "D"</t>
  </si>
  <si>
    <t>POC - TIPO "B"</t>
  </si>
  <si>
    <t>HRE - TIPO "B"</t>
  </si>
  <si>
    <t>HRE - TIPO "D"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</si>
  <si>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</si>
  <si>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</si>
  <si>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 xml:space="preserve">Médico - Diurno </t>
  </si>
  <si>
    <t xml:space="preserve">INFORMAÇÃO: </t>
  </si>
  <si>
    <t>Motorista - Diurno</t>
  </si>
  <si>
    <t>Motorista - Noturno</t>
  </si>
  <si>
    <t>LEI Nº 14.434/2022</t>
  </si>
  <si>
    <t>TOTAL MENSAL POR  FUNCIONÁRIO HRE - AMBULANCIA TIPO "D"</t>
  </si>
  <si>
    <t xml:space="preserve">Periodicidade </t>
  </si>
  <si>
    <t xml:space="preserve"> Calça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</si>
  <si>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</si>
  <si>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</si>
  <si>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</si>
  <si>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</si>
  <si>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</si>
  <si>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</si>
  <si>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RO000094/2024</t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</si>
  <si>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13.2.12.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</t>
    </r>
    <r>
      <rPr>
        <b/>
        <sz val="11"/>
        <color theme="1"/>
        <rFont val="Calibri"/>
        <family val="2"/>
        <scheme val="minor"/>
      </rPr>
      <t xml:space="preserve"> 02 calças, 02 Camisas, 01 crachá e 01 Par de calçados, </t>
    </r>
    <r>
      <rPr>
        <sz val="11"/>
        <color theme="1"/>
        <rFont val="Calibri"/>
        <family val="2"/>
        <scheme val="minor"/>
      </rPr>
      <t>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</si>
  <si>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t>CARGA
HORÁRIA</t>
  </si>
  <si>
    <t>VALOR TOTAL MENSAL (R$)</t>
  </si>
  <si>
    <t>VALOR TOTAL ANUAL (R$)</t>
  </si>
  <si>
    <t>24 horas/dia
(7 dias por
semana)</t>
  </si>
  <si>
    <t>12 horas/dia
Das 07h00min
às 19h00min
(5 dias por
semana
segunda-feira
à sexta-feira)</t>
  </si>
  <si>
    <t>12 horas/dia
Das 07h00min
às 19h00min
(7 dias por
semana)</t>
  </si>
  <si>
    <r>
      <t>Ambulância de Suporte Básico</t>
    </r>
    <r>
      <rPr>
        <b/>
        <sz val="12"/>
        <rFont val="Calibri"/>
        <family val="2"/>
        <scheme val="minor"/>
      </rPr>
      <t xml:space="preserve"> TIPO "B”</t>
    </r>
    <r>
      <rPr>
        <sz val="12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2"/>
        <rFont val="Calibri"/>
        <family val="2"/>
        <scheme val="minor"/>
      </rPr>
      <t>(HOSPITAL REGIONAL DE EXTREMA - HRE)</t>
    </r>
  </si>
  <si>
    <r>
      <t xml:space="preserve">Ambulância de Suporte Avançado </t>
    </r>
    <r>
      <rPr>
        <b/>
        <sz val="12"/>
        <color theme="1"/>
        <rFont val="Calibri"/>
        <family val="2"/>
        <scheme val="minor"/>
      </rPr>
      <t>TIPO "D”</t>
    </r>
    <r>
      <rPr>
        <sz val="12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2"/>
        <color theme="1"/>
        <rFont val="Calibri"/>
        <family val="2"/>
        <scheme val="minor"/>
      </rPr>
      <t>(HOSPITAL DE RETAGUARDA DE RONDÔNIA - HRRO)</t>
    </r>
  </si>
  <si>
    <r>
      <t xml:space="preserve">Ambulância de Suporte Avançado </t>
    </r>
    <r>
      <rPr>
        <b/>
        <sz val="12"/>
        <rFont val="Calibri"/>
        <family val="2"/>
        <scheme val="minor"/>
      </rPr>
      <t>TIPO "D”</t>
    </r>
    <r>
      <rPr>
        <sz val="12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2"/>
        <rFont val="Calibri"/>
        <family val="2"/>
        <scheme val="minor"/>
      </rPr>
      <t>(HOSPITAL REGIONAL DE EXTREMA - HRE)</t>
    </r>
  </si>
  <si>
    <r>
      <t>Ambulância de Suporte Básico</t>
    </r>
    <r>
      <rPr>
        <b/>
        <sz val="12"/>
        <color rgb="FF000000"/>
        <rFont val="Calibri"/>
        <family val="2"/>
        <scheme val="minor"/>
      </rPr>
      <t xml:space="preserve"> TIPO "B"</t>
    </r>
    <r>
      <rPr>
        <sz val="12"/>
        <color rgb="FF000000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</t>
    </r>
    <r>
      <rPr>
        <b/>
        <sz val="12"/>
        <color rgb="FF000000"/>
        <rFont val="Calibri"/>
        <family val="2"/>
        <scheme val="minor"/>
      </rPr>
      <t xml:space="preserve"> (POLICLÍNICA OSWALDO CRUZ - POC)</t>
    </r>
  </si>
  <si>
    <r>
      <t xml:space="preserve">Ambulância de Suporte Básico </t>
    </r>
    <r>
      <rPr>
        <b/>
        <sz val="12"/>
        <rFont val="Calibri"/>
        <family val="2"/>
        <scheme val="minor"/>
      </rPr>
      <t>TIPO ”B”</t>
    </r>
    <r>
      <rPr>
        <sz val="12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2"/>
        <rFont val="Calibri"/>
        <family val="2"/>
        <scheme val="minor"/>
      </rPr>
      <t>(HOSPITAL DE RETAGUARDA DE RONDÔNIA - HRRO)</t>
    </r>
  </si>
  <si>
    <t>SERVIÇO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</si>
  <si>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</si>
  <si>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</t>
    </r>
    <r>
      <rPr>
        <sz val="11"/>
        <color theme="1"/>
        <rFont val="Calibri"/>
        <family val="2"/>
        <scheme val="minor"/>
      </rPr>
      <t xml:space="preserve">.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</t>
    </r>
    <r>
      <rPr>
        <sz val="11"/>
        <color theme="1"/>
        <rFont val="Calibri"/>
        <family val="2"/>
        <scheme val="minor"/>
      </rPr>
      <t>.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</si>
  <si>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t>Motorista/Socorrista - Diurno</t>
  </si>
  <si>
    <t xml:space="preserve">Motorista/Socorrista - Noturno 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</si>
  <si>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e, finalmente, para 2024, a alíquota de 6,97%, sobre o valor de 2023.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</si>
  <si>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 xml:space="preserve">Quantidade Mensal </t>
  </si>
  <si>
    <t>Quantidade Anual</t>
  </si>
  <si>
    <t>Valor m3</t>
  </si>
  <si>
    <t>OXIGÊNIO GASOSO</t>
  </si>
  <si>
    <t>m3</t>
  </si>
  <si>
    <t>AR COMPRIMIDO MEDICINAL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</si>
</sst>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trike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30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3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4" fillId="0" borderId="0"/>
  </cellStyleXfs>
  <cellXfs count="515">
    <xf numFmtId="0" fontId="0" fillId="0" borderId="0" xfId="0"/>
    <xf numFmtId="0" fontId="6" fillId="2" borderId="11" xfId="0" applyFont="1" applyFill="1" applyBorder="1" applyAlignment="1">
      <alignment wrapText="1"/>
    </xf>
    <xf numFmtId="0" fontId="6" fillId="2" borderId="12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2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2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/>
    <xf numFmtId="0" fontId="9" fillId="2" borderId="13" xfId="0" applyFont="1" applyFill="1" applyBorder="1" applyAlignment="1">
      <alignment horizontal="center" wrapText="1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3" borderId="12" xfId="0" applyFill="1" applyBorder="1"/>
    <xf numFmtId="0" fontId="0" fillId="3" borderId="12" xfId="0" applyFill="1" applyBorder="1" applyAlignment="1">
      <alignment horizontal="center"/>
    </xf>
    <xf numFmtId="0" fontId="0" fillId="0" borderId="13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right" vertical="center" wrapText="1"/>
    </xf>
    <xf numFmtId="0" fontId="22" fillId="2" borderId="3" xfId="4" applyFont="1" applyFill="1" applyBorder="1" applyAlignment="1">
      <alignment horizontal="justify" vertical="center" wrapText="1"/>
    </xf>
    <xf numFmtId="0" fontId="22" fillId="2" borderId="3" xfId="0" applyFont="1" applyFill="1" applyBorder="1" applyAlignment="1">
      <alignment horizontal="justify" vertical="center"/>
    </xf>
    <xf numFmtId="0" fontId="22" fillId="2" borderId="2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vertical="center"/>
    </xf>
    <xf numFmtId="0" fontId="22" fillId="2" borderId="3" xfId="5" applyFont="1" applyFill="1" applyBorder="1" applyAlignment="1">
      <alignment vertical="center" wrapText="1"/>
    </xf>
    <xf numFmtId="0" fontId="22" fillId="2" borderId="21" xfId="5" applyFont="1" applyFill="1" applyBorder="1" applyAlignment="1">
      <alignment horizontal="center" vertical="center" wrapText="1"/>
    </xf>
    <xf numFmtId="164" fontId="23" fillId="2" borderId="3" xfId="2" applyNumberFormat="1" applyFont="1" applyFill="1" applyBorder="1" applyAlignment="1">
      <alignment horizontal="justify" vertical="center"/>
    </xf>
    <xf numFmtId="0" fontId="22" fillId="0" borderId="21" xfId="5" applyFont="1" applyBorder="1" applyAlignment="1">
      <alignment horizontal="center" vertical="center" wrapText="1"/>
    </xf>
    <xf numFmtId="0" fontId="22" fillId="0" borderId="3" xfId="5" applyFont="1" applyBorder="1" applyAlignment="1">
      <alignment vertical="center" wrapText="1"/>
    </xf>
    <xf numFmtId="0" fontId="22" fillId="0" borderId="3" xfId="5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2" fillId="2" borderId="3" xfId="5" applyFont="1" applyFill="1" applyBorder="1" applyAlignment="1">
      <alignment vertical="center"/>
    </xf>
    <xf numFmtId="10" fontId="22" fillId="0" borderId="3" xfId="2" applyNumberFormat="1" applyFont="1" applyFill="1" applyBorder="1" applyAlignment="1">
      <alignment horizontal="center" vertical="center"/>
    </xf>
    <xf numFmtId="10" fontId="23" fillId="5" borderId="3" xfId="2" applyNumberFormat="1" applyFont="1" applyFill="1" applyBorder="1" applyAlignment="1">
      <alignment horizontal="center" vertical="center"/>
    </xf>
    <xf numFmtId="165" fontId="23" fillId="2" borderId="3" xfId="5" applyNumberFormat="1" applyFont="1" applyFill="1" applyBorder="1" applyAlignment="1">
      <alignment horizontal="center" vertical="center" wrapText="1"/>
    </xf>
    <xf numFmtId="165" fontId="23" fillId="2" borderId="20" xfId="5" applyNumberFormat="1" applyFont="1" applyFill="1" applyBorder="1" applyAlignment="1">
      <alignment horizontal="center" vertical="center" wrapText="1"/>
    </xf>
    <xf numFmtId="165" fontId="22" fillId="2" borderId="20" xfId="0" applyNumberFormat="1" applyFont="1" applyFill="1" applyBorder="1" applyAlignment="1">
      <alignment horizontal="center" vertical="center"/>
    </xf>
    <xf numFmtId="165" fontId="22" fillId="2" borderId="20" xfId="0" quotePrefix="1" applyNumberFormat="1" applyFont="1" applyFill="1" applyBorder="1" applyAlignment="1">
      <alignment horizontal="center" vertical="center"/>
    </xf>
    <xf numFmtId="165" fontId="23" fillId="6" borderId="20" xfId="0" applyNumberFormat="1" applyFont="1" applyFill="1" applyBorder="1" applyAlignment="1">
      <alignment horizontal="center" vertical="center"/>
    </xf>
    <xf numFmtId="165" fontId="22" fillId="0" borderId="20" xfId="0" applyNumberFormat="1" applyFont="1" applyBorder="1" applyAlignment="1">
      <alignment horizontal="center" vertical="center"/>
    </xf>
    <xf numFmtId="165" fontId="23" fillId="5" borderId="20" xfId="0" applyNumberFormat="1" applyFont="1" applyFill="1" applyBorder="1" applyAlignment="1">
      <alignment horizontal="center" vertical="center"/>
    </xf>
    <xf numFmtId="165" fontId="22" fillId="0" borderId="20" xfId="0" quotePrefix="1" applyNumberFormat="1" applyFont="1" applyBorder="1" applyAlignment="1">
      <alignment horizontal="center" vertical="center"/>
    </xf>
    <xf numFmtId="165" fontId="23" fillId="2" borderId="3" xfId="0" applyNumberFormat="1" applyFont="1" applyFill="1" applyBorder="1" applyAlignment="1">
      <alignment horizontal="center" vertical="center"/>
    </xf>
    <xf numFmtId="165" fontId="23" fillId="6" borderId="3" xfId="0" applyNumberFormat="1" applyFont="1" applyFill="1" applyBorder="1" applyAlignment="1">
      <alignment horizontal="center" vertical="center"/>
    </xf>
    <xf numFmtId="165" fontId="22" fillId="0" borderId="3" xfId="2" applyNumberFormat="1" applyFont="1" applyFill="1" applyBorder="1" applyAlignment="1">
      <alignment horizontal="center" vertical="center"/>
    </xf>
    <xf numFmtId="0" fontId="22" fillId="0" borderId="3" xfId="5" applyFont="1" applyBorder="1" applyAlignment="1">
      <alignment horizontal="center" vertical="center" wrapText="1"/>
    </xf>
    <xf numFmtId="165" fontId="23" fillId="0" borderId="3" xfId="5" applyNumberFormat="1" applyFont="1" applyBorder="1" applyAlignment="1">
      <alignment horizontal="center" vertical="center" wrapText="1"/>
    </xf>
    <xf numFmtId="165" fontId="23" fillId="4" borderId="3" xfId="5" applyNumberFormat="1" applyFont="1" applyFill="1" applyBorder="1" applyAlignment="1">
      <alignment horizontal="center" vertical="center" wrapText="1"/>
    </xf>
    <xf numFmtId="165" fontId="23" fillId="3" borderId="3" xfId="5" applyNumberFormat="1" applyFont="1" applyFill="1" applyBorder="1" applyAlignment="1">
      <alignment horizontal="center" vertical="center" wrapText="1"/>
    </xf>
    <xf numFmtId="10" fontId="23" fillId="2" borderId="3" xfId="2" applyNumberFormat="1" applyFont="1" applyFill="1" applyBorder="1" applyAlignment="1">
      <alignment vertical="center"/>
    </xf>
    <xf numFmtId="165" fontId="22" fillId="2" borderId="3" xfId="2" applyNumberFormat="1" applyFont="1" applyFill="1" applyBorder="1" applyAlignment="1">
      <alignment horizontal="center" vertical="center"/>
    </xf>
    <xf numFmtId="0" fontId="31" fillId="4" borderId="21" xfId="5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vertical="center"/>
    </xf>
    <xf numFmtId="164" fontId="25" fillId="2" borderId="3" xfId="2" applyNumberFormat="1" applyFont="1" applyFill="1" applyBorder="1" applyAlignment="1">
      <alignment horizontal="justify" vertical="center"/>
    </xf>
    <xf numFmtId="165" fontId="22" fillId="2" borderId="3" xfId="0" quotePrefix="1" applyNumberFormat="1" applyFont="1" applyFill="1" applyBorder="1" applyAlignment="1">
      <alignment horizontal="center" vertical="center"/>
    </xf>
    <xf numFmtId="165" fontId="22" fillId="0" borderId="3" xfId="0" applyNumberFormat="1" applyFont="1" applyBorder="1" applyAlignment="1">
      <alignment horizontal="center" vertical="center"/>
    </xf>
    <xf numFmtId="165" fontId="23" fillId="5" borderId="3" xfId="0" applyNumberFormat="1" applyFont="1" applyFill="1" applyBorder="1" applyAlignment="1">
      <alignment horizontal="center" vertical="center" wrapText="1"/>
    </xf>
    <xf numFmtId="165" fontId="23" fillId="5" borderId="3" xfId="0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left" vertical="center"/>
    </xf>
    <xf numFmtId="10" fontId="32" fillId="0" borderId="3" xfId="0" applyNumberFormat="1" applyFont="1" applyBorder="1" applyAlignment="1">
      <alignment horizontal="center" vertical="center"/>
    </xf>
    <xf numFmtId="165" fontId="23" fillId="5" borderId="3" xfId="2" applyNumberFormat="1" applyFont="1" applyFill="1" applyBorder="1" applyAlignment="1">
      <alignment horizontal="center" vertical="center"/>
    </xf>
    <xf numFmtId="164" fontId="23" fillId="0" borderId="3" xfId="2" applyNumberFormat="1" applyFont="1" applyFill="1" applyBorder="1" applyAlignment="1">
      <alignment horizontal="center" vertical="center"/>
    </xf>
    <xf numFmtId="165" fontId="22" fillId="0" borderId="3" xfId="0" quotePrefix="1" applyNumberFormat="1" applyFont="1" applyBorder="1" applyAlignment="1">
      <alignment horizontal="center" vertical="center"/>
    </xf>
    <xf numFmtId="165" fontId="23" fillId="5" borderId="3" xfId="5" applyNumberFormat="1" applyFont="1" applyFill="1" applyBorder="1" applyAlignment="1">
      <alignment horizontal="center" vertical="center" wrapText="1"/>
    </xf>
    <xf numFmtId="165" fontId="23" fillId="6" borderId="3" xfId="5" applyNumberFormat="1" applyFont="1" applyFill="1" applyBorder="1" applyAlignment="1">
      <alignment horizontal="center" vertical="center" wrapText="1"/>
    </xf>
    <xf numFmtId="165" fontId="22" fillId="0" borderId="3" xfId="5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165" fontId="22" fillId="0" borderId="3" xfId="5" applyNumberFormat="1" applyFont="1" applyBorder="1" applyAlignment="1">
      <alignment horizontal="center" vertical="center"/>
    </xf>
    <xf numFmtId="0" fontId="22" fillId="2" borderId="21" xfId="5" applyFont="1" applyFill="1" applyBorder="1" applyAlignment="1">
      <alignment horizontal="center" vertical="center"/>
    </xf>
    <xf numFmtId="10" fontId="23" fillId="5" borderId="3" xfId="0" applyNumberFormat="1" applyFont="1" applyFill="1" applyBorder="1" applyAlignment="1">
      <alignment horizontal="center" vertical="center" wrapText="1"/>
    </xf>
    <xf numFmtId="10" fontId="23" fillId="2" borderId="3" xfId="2" applyNumberFormat="1" applyFont="1" applyFill="1" applyBorder="1" applyAlignment="1">
      <alignment horizontal="center" vertical="center"/>
    </xf>
    <xf numFmtId="10" fontId="23" fillId="5" borderId="3" xfId="5" applyNumberFormat="1" applyFont="1" applyFill="1" applyBorder="1" applyAlignment="1">
      <alignment horizontal="center" vertical="center" wrapText="1"/>
    </xf>
    <xf numFmtId="0" fontId="22" fillId="0" borderId="3" xfId="5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2" fillId="0" borderId="3" xfId="0" applyFont="1" applyBorder="1" applyAlignment="1">
      <alignment horizontal="left" vertical="center"/>
    </xf>
    <xf numFmtId="0" fontId="22" fillId="0" borderId="3" xfId="0" applyFont="1" applyBorder="1" applyAlignment="1">
      <alignment vertical="center" wrapText="1"/>
    </xf>
    <xf numFmtId="0" fontId="23" fillId="0" borderId="3" xfId="0" applyFont="1" applyBorder="1" applyAlignment="1">
      <alignment vertical="center"/>
    </xf>
    <xf numFmtId="10" fontId="23" fillId="0" borderId="3" xfId="0" applyNumberFormat="1" applyFont="1" applyBorder="1" applyAlignment="1">
      <alignment horizontal="center" vertical="center"/>
    </xf>
    <xf numFmtId="165" fontId="23" fillId="0" borderId="3" xfId="0" applyNumberFormat="1" applyFont="1" applyBorder="1" applyAlignment="1">
      <alignment horizontal="center" vertical="center"/>
    </xf>
    <xf numFmtId="165" fontId="22" fillId="2" borderId="3" xfId="5" applyNumberFormat="1" applyFont="1" applyFill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165" fontId="23" fillId="5" borderId="10" xfId="5" applyNumberFormat="1" applyFont="1" applyFill="1" applyBorder="1" applyAlignment="1">
      <alignment horizontal="center" vertical="center" wrapText="1"/>
    </xf>
    <xf numFmtId="165" fontId="31" fillId="4" borderId="3" xfId="5" applyNumberFormat="1" applyFont="1" applyFill="1" applyBorder="1" applyAlignment="1">
      <alignment horizontal="center" vertical="center" wrapText="1"/>
    </xf>
    <xf numFmtId="2" fontId="22" fillId="2" borderId="3" xfId="5" applyNumberFormat="1" applyFont="1" applyFill="1" applyBorder="1" applyAlignment="1">
      <alignment horizontal="center" vertical="center"/>
    </xf>
    <xf numFmtId="0" fontId="23" fillId="0" borderId="3" xfId="6" applyFont="1" applyFill="1" applyBorder="1" applyAlignment="1" applyProtection="1">
      <alignment horizontal="left" vertical="center"/>
    </xf>
    <xf numFmtId="0" fontId="23" fillId="0" borderId="3" xfId="0" applyFont="1" applyBorder="1" applyAlignment="1">
      <alignment horizontal="left" vertical="center"/>
    </xf>
    <xf numFmtId="164" fontId="23" fillId="2" borderId="3" xfId="2" applyNumberFormat="1" applyFont="1" applyFill="1" applyBorder="1" applyAlignment="1">
      <alignment horizontal="center" vertical="center"/>
    </xf>
    <xf numFmtId="165" fontId="28" fillId="7" borderId="14" xfId="0" applyNumberFormat="1" applyFont="1" applyFill="1" applyBorder="1" applyAlignment="1">
      <alignment horizontal="center" vertical="center"/>
    </xf>
    <xf numFmtId="1" fontId="29" fillId="0" borderId="3" xfId="0" applyNumberFormat="1" applyFont="1" applyBorder="1" applyAlignment="1">
      <alignment horizontal="center" vertical="center" shrinkToFit="1"/>
    </xf>
    <xf numFmtId="0" fontId="28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8" fillId="5" borderId="21" xfId="0" applyFont="1" applyFill="1" applyBorder="1" applyAlignment="1">
      <alignment horizontal="center" vertical="center"/>
    </xf>
    <xf numFmtId="165" fontId="27" fillId="0" borderId="3" xfId="7" applyNumberFormat="1" applyFont="1" applyBorder="1" applyAlignment="1">
      <alignment horizontal="center" vertical="center"/>
    </xf>
    <xf numFmtId="165" fontId="27" fillId="0" borderId="20" xfId="7" applyNumberFormat="1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3" xfId="0" applyFont="1" applyBorder="1" applyAlignment="1">
      <alignment horizontal="left" vertical="center" wrapText="1"/>
    </xf>
    <xf numFmtId="165" fontId="2" fillId="7" borderId="14" xfId="7" applyNumberFormat="1" applyFont="1" applyFill="1" applyBorder="1" applyAlignment="1">
      <alignment horizontal="center"/>
    </xf>
    <xf numFmtId="0" fontId="23" fillId="4" borderId="20" xfId="0" applyFont="1" applyFill="1" applyBorder="1" applyAlignment="1">
      <alignment vertical="center"/>
    </xf>
    <xf numFmtId="165" fontId="23" fillId="4" borderId="3" xfId="0" applyNumberFormat="1" applyFont="1" applyFill="1" applyBorder="1" applyAlignment="1">
      <alignment horizontal="center" vertical="center"/>
    </xf>
    <xf numFmtId="165" fontId="22" fillId="0" borderId="3" xfId="1" applyNumberFormat="1" applyFont="1" applyFill="1" applyBorder="1" applyAlignment="1">
      <alignment horizontal="center" vertical="center"/>
    </xf>
    <xf numFmtId="165" fontId="23" fillId="9" borderId="3" xfId="5" applyNumberFormat="1" applyFont="1" applyFill="1" applyBorder="1" applyAlignment="1">
      <alignment horizontal="center" vertical="center" wrapText="1"/>
    </xf>
    <xf numFmtId="165" fontId="23" fillId="5" borderId="10" xfId="0" applyNumberFormat="1" applyFont="1" applyFill="1" applyBorder="1" applyAlignment="1">
      <alignment horizontal="center" vertical="center"/>
    </xf>
    <xf numFmtId="165" fontId="22" fillId="2" borderId="20" xfId="5" applyNumberFormat="1" applyFont="1" applyFill="1" applyBorder="1" applyAlignment="1">
      <alignment horizontal="center" vertical="center"/>
    </xf>
    <xf numFmtId="0" fontId="23" fillId="8" borderId="3" xfId="5" applyFont="1" applyFill="1" applyBorder="1" applyAlignment="1">
      <alignment horizontal="center" vertical="center" wrapText="1"/>
    </xf>
    <xf numFmtId="0" fontId="33" fillId="0" borderId="0" xfId="12" applyAlignment="1">
      <alignment horizontal="left" vertical="top"/>
    </xf>
    <xf numFmtId="165" fontId="23" fillId="4" borderId="20" xfId="5" applyNumberFormat="1" applyFont="1" applyFill="1" applyBorder="1" applyAlignment="1">
      <alignment horizontal="center" vertical="center" wrapText="1"/>
    </xf>
    <xf numFmtId="0" fontId="31" fillId="4" borderId="3" xfId="5" applyFont="1" applyFill="1" applyBorder="1" applyAlignment="1">
      <alignment horizontal="center" vertical="center" wrapText="1"/>
    </xf>
    <xf numFmtId="165" fontId="23" fillId="0" borderId="20" xfId="5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1" fontId="29" fillId="0" borderId="4" xfId="0" applyNumberFormat="1" applyFont="1" applyBorder="1" applyAlignment="1">
      <alignment horizontal="center" vertical="center" shrinkToFit="1"/>
    </xf>
    <xf numFmtId="165" fontId="27" fillId="0" borderId="4" xfId="7" applyNumberFormat="1" applyFont="1" applyBorder="1" applyAlignment="1">
      <alignment horizontal="center" vertical="center"/>
    </xf>
    <xf numFmtId="165" fontId="27" fillId="0" borderId="24" xfId="7" applyNumberFormat="1" applyFont="1" applyBorder="1" applyAlignment="1">
      <alignment horizontal="center" vertical="center"/>
    </xf>
    <xf numFmtId="0" fontId="23" fillId="8" borderId="20" xfId="5" applyFont="1" applyFill="1" applyBorder="1" applyAlignment="1">
      <alignment horizontal="center" vertical="center" wrapText="1"/>
    </xf>
    <xf numFmtId="165" fontId="22" fillId="2" borderId="20" xfId="2" applyNumberFormat="1" applyFont="1" applyFill="1" applyBorder="1" applyAlignment="1">
      <alignment horizontal="center" vertical="center"/>
    </xf>
    <xf numFmtId="165" fontId="23" fillId="6" borderId="20" xfId="5" applyNumberFormat="1" applyFont="1" applyFill="1" applyBorder="1" applyAlignment="1">
      <alignment horizontal="center" vertical="center" wrapText="1"/>
    </xf>
    <xf numFmtId="165" fontId="22" fillId="0" borderId="20" xfId="2" applyNumberFormat="1" applyFont="1" applyFill="1" applyBorder="1" applyAlignment="1">
      <alignment horizontal="center" vertical="center"/>
    </xf>
    <xf numFmtId="165" fontId="23" fillId="5" borderId="20" xfId="0" applyNumberFormat="1" applyFont="1" applyFill="1" applyBorder="1" applyAlignment="1">
      <alignment horizontal="center" vertical="center" wrapText="1"/>
    </xf>
    <xf numFmtId="165" fontId="23" fillId="5" borderId="20" xfId="2" applyNumberFormat="1" applyFont="1" applyFill="1" applyBorder="1" applyAlignment="1">
      <alignment horizontal="center" vertical="center"/>
    </xf>
    <xf numFmtId="165" fontId="31" fillId="4" borderId="20" xfId="5" applyNumberFormat="1" applyFont="1" applyFill="1" applyBorder="1" applyAlignment="1">
      <alignment horizontal="center" vertical="center" wrapText="1"/>
    </xf>
    <xf numFmtId="165" fontId="23" fillId="5" borderId="20" xfId="5" applyNumberFormat="1" applyFont="1" applyFill="1" applyBorder="1" applyAlignment="1">
      <alignment horizontal="center" vertical="center" wrapText="1"/>
    </xf>
    <xf numFmtId="165" fontId="23" fillId="2" borderId="20" xfId="0" applyNumberFormat="1" applyFont="1" applyFill="1" applyBorder="1" applyAlignment="1">
      <alignment horizontal="center" vertical="center"/>
    </xf>
    <xf numFmtId="165" fontId="22" fillId="0" borderId="20" xfId="5" applyNumberFormat="1" applyFont="1" applyBorder="1" applyAlignment="1">
      <alignment horizontal="center" vertical="center" wrapText="1"/>
    </xf>
    <xf numFmtId="165" fontId="22" fillId="0" borderId="20" xfId="5" applyNumberFormat="1" applyFont="1" applyBorder="1" applyAlignment="1">
      <alignment horizontal="center" vertical="center"/>
    </xf>
    <xf numFmtId="165" fontId="23" fillId="0" borderId="20" xfId="0" applyNumberFormat="1" applyFont="1" applyBorder="1" applyAlignment="1">
      <alignment horizontal="center" vertical="center"/>
    </xf>
    <xf numFmtId="165" fontId="23" fillId="3" borderId="20" xfId="5" applyNumberFormat="1" applyFont="1" applyFill="1" applyBorder="1" applyAlignment="1">
      <alignment horizontal="center" vertical="center" wrapText="1"/>
    </xf>
    <xf numFmtId="165" fontId="23" fillId="5" borderId="25" xfId="5" applyNumberFormat="1" applyFont="1" applyFill="1" applyBorder="1" applyAlignment="1">
      <alignment horizontal="center" vertical="center" wrapText="1"/>
    </xf>
    <xf numFmtId="165" fontId="23" fillId="4" borderId="20" xfId="0" applyNumberFormat="1" applyFont="1" applyFill="1" applyBorder="1" applyAlignment="1">
      <alignment horizontal="center" vertical="center"/>
    </xf>
    <xf numFmtId="165" fontId="22" fillId="0" borderId="20" xfId="1" applyNumberFormat="1" applyFont="1" applyFill="1" applyBorder="1" applyAlignment="1">
      <alignment horizontal="center" vertical="center"/>
    </xf>
    <xf numFmtId="165" fontId="23" fillId="9" borderId="20" xfId="5" applyNumberFormat="1" applyFont="1" applyFill="1" applyBorder="1" applyAlignment="1">
      <alignment horizontal="center" vertical="center" wrapText="1"/>
    </xf>
    <xf numFmtId="165" fontId="23" fillId="5" borderId="25" xfId="0" applyNumberFormat="1" applyFont="1" applyFill="1" applyBorder="1" applyAlignment="1">
      <alignment horizontal="center" vertical="center"/>
    </xf>
    <xf numFmtId="0" fontId="28" fillId="5" borderId="34" xfId="0" applyFont="1" applyFill="1" applyBorder="1" applyAlignment="1">
      <alignment horizontal="center" vertical="center"/>
    </xf>
    <xf numFmtId="0" fontId="28" fillId="5" borderId="31" xfId="0" applyFont="1" applyFill="1" applyBorder="1" applyAlignment="1">
      <alignment horizontal="center" vertical="center"/>
    </xf>
    <xf numFmtId="0" fontId="28" fillId="5" borderId="33" xfId="0" applyFont="1" applyFill="1" applyBorder="1" applyAlignment="1">
      <alignment horizontal="center" vertical="center"/>
    </xf>
    <xf numFmtId="165" fontId="28" fillId="5" borderId="3" xfId="0" applyNumberFormat="1" applyFont="1" applyFill="1" applyBorder="1" applyAlignment="1">
      <alignment horizontal="center" vertical="center"/>
    </xf>
    <xf numFmtId="165" fontId="28" fillId="5" borderId="20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27" fillId="2" borderId="3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27" fillId="0" borderId="10" xfId="0" applyFont="1" applyBorder="1" applyAlignment="1">
      <alignment horizontal="center" vertical="center"/>
    </xf>
    <xf numFmtId="1" fontId="29" fillId="0" borderId="10" xfId="0" applyNumberFormat="1" applyFont="1" applyBorder="1" applyAlignment="1">
      <alignment horizontal="center" vertical="center" shrinkToFit="1"/>
    </xf>
    <xf numFmtId="165" fontId="27" fillId="0" borderId="10" xfId="0" applyNumberFormat="1" applyFont="1" applyBorder="1" applyAlignment="1">
      <alignment horizontal="center" vertical="center"/>
    </xf>
    <xf numFmtId="165" fontId="27" fillId="0" borderId="10" xfId="7" applyNumberFormat="1" applyFont="1" applyBorder="1" applyAlignment="1">
      <alignment horizontal="center" vertical="center"/>
    </xf>
    <xf numFmtId="165" fontId="27" fillId="0" borderId="25" xfId="7" applyNumberFormat="1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/>
    </xf>
    <xf numFmtId="4" fontId="23" fillId="2" borderId="20" xfId="0" applyNumberFormat="1" applyFont="1" applyFill="1" applyBorder="1" applyAlignment="1">
      <alignment horizontal="center" vertical="center"/>
    </xf>
    <xf numFmtId="10" fontId="22" fillId="2" borderId="3" xfId="2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0" fontId="22" fillId="2" borderId="3" xfId="4" applyFont="1" applyFill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/>
    </xf>
    <xf numFmtId="0" fontId="23" fillId="4" borderId="20" xfId="5" applyFont="1" applyFill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3" fillId="0" borderId="21" xfId="5" applyFont="1" applyBorder="1" applyAlignment="1">
      <alignment horizontal="center" vertical="center" wrapText="1"/>
    </xf>
    <xf numFmtId="0" fontId="22" fillId="0" borderId="3" xfId="5" applyFont="1" applyBorder="1" applyAlignment="1">
      <alignment horizontal="left" vertical="center" wrapText="1"/>
    </xf>
    <xf numFmtId="0" fontId="22" fillId="2" borderId="3" xfId="5" applyFont="1" applyFill="1" applyBorder="1" applyAlignment="1">
      <alignment horizontal="left" vertical="center" wrapText="1"/>
    </xf>
    <xf numFmtId="4" fontId="23" fillId="2" borderId="20" xfId="5" applyNumberFormat="1" applyFont="1" applyFill="1" applyBorder="1" applyAlignment="1">
      <alignment horizontal="center" vertical="center" wrapText="1"/>
    </xf>
    <xf numFmtId="0" fontId="37" fillId="2" borderId="0" xfId="12" applyFont="1" applyFill="1" applyBorder="1" applyAlignment="1">
      <alignment horizontal="center" vertical="center"/>
    </xf>
    <xf numFmtId="0" fontId="37" fillId="2" borderId="44" xfId="12" applyFont="1" applyFill="1" applyBorder="1" applyAlignment="1">
      <alignment horizontal="center" vertical="center"/>
    </xf>
    <xf numFmtId="1" fontId="37" fillId="0" borderId="21" xfId="12" applyNumberFormat="1" applyFont="1" applyBorder="1" applyAlignment="1">
      <alignment horizontal="center" vertical="center" shrinkToFit="1"/>
    </xf>
    <xf numFmtId="0" fontId="32" fillId="2" borderId="3" xfId="0" applyFont="1" applyFill="1" applyBorder="1" applyAlignment="1">
      <alignment horizontal="center" vertical="center" wrapText="1"/>
    </xf>
    <xf numFmtId="0" fontId="22" fillId="0" borderId="3" xfId="12" applyFont="1" applyBorder="1" applyAlignment="1">
      <alignment horizontal="center" vertical="center" wrapText="1"/>
    </xf>
    <xf numFmtId="1" fontId="37" fillId="0" borderId="3" xfId="12" applyNumberFormat="1" applyFont="1" applyBorder="1" applyAlignment="1">
      <alignment horizontal="center" vertical="center" shrinkToFit="1"/>
    </xf>
    <xf numFmtId="165" fontId="37" fillId="0" borderId="3" xfId="12" applyNumberFormat="1" applyFont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center" vertical="center" wrapText="1"/>
    </xf>
    <xf numFmtId="0" fontId="31" fillId="5" borderId="20" xfId="0" applyFont="1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2" borderId="31" xfId="0" applyFont="1" applyFill="1" applyBorder="1" applyAlignment="1">
      <alignment horizontal="center" vertical="center"/>
    </xf>
    <xf numFmtId="165" fontId="32" fillId="2" borderId="31" xfId="0" applyNumberFormat="1" applyFont="1" applyFill="1" applyBorder="1" applyAlignment="1">
      <alignment horizontal="center" vertical="center" wrapText="1"/>
    </xf>
    <xf numFmtId="0" fontId="32" fillId="2" borderId="31" xfId="0" applyFont="1" applyFill="1" applyBorder="1" applyAlignment="1">
      <alignment horizontal="center" vertical="center" wrapText="1"/>
    </xf>
    <xf numFmtId="0" fontId="32" fillId="2" borderId="31" xfId="0" applyFont="1" applyFill="1" applyBorder="1" applyAlignment="1">
      <alignment horizontal="center" vertical="center"/>
    </xf>
    <xf numFmtId="165" fontId="32" fillId="2" borderId="31" xfId="0" applyNumberFormat="1" applyFont="1" applyFill="1" applyBorder="1" applyAlignment="1">
      <alignment horizontal="center" vertical="center"/>
    </xf>
    <xf numFmtId="165" fontId="32" fillId="2" borderId="33" xfId="0" applyNumberFormat="1" applyFont="1" applyFill="1" applyBorder="1" applyAlignment="1">
      <alignment horizontal="center" vertical="center"/>
    </xf>
    <xf numFmtId="0" fontId="37" fillId="2" borderId="3" xfId="0" applyFont="1" applyFill="1" applyBorder="1" applyAlignment="1">
      <alignment horizontal="center" vertical="center"/>
    </xf>
    <xf numFmtId="165" fontId="32" fillId="2" borderId="3" xfId="0" applyNumberFormat="1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165" fontId="32" fillId="2" borderId="20" xfId="0" applyNumberFormat="1" applyFont="1" applyFill="1" applyBorder="1" applyAlignment="1">
      <alignment horizontal="center" vertical="center"/>
    </xf>
    <xf numFmtId="165" fontId="32" fillId="2" borderId="3" xfId="0" applyNumberFormat="1" applyFont="1" applyFill="1" applyBorder="1" applyAlignment="1">
      <alignment horizontal="center" vertical="center" wrapText="1"/>
    </xf>
    <xf numFmtId="0" fontId="37" fillId="2" borderId="10" xfId="0" applyFont="1" applyFill="1" applyBorder="1" applyAlignment="1">
      <alignment horizontal="center" vertical="center"/>
    </xf>
    <xf numFmtId="165" fontId="23" fillId="7" borderId="14" xfId="12" applyNumberFormat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164" fontId="25" fillId="2" borderId="3" xfId="2" applyNumberFormat="1" applyFont="1" applyFill="1" applyBorder="1" applyAlignment="1">
      <alignment horizontal="center" vertical="center"/>
    </xf>
    <xf numFmtId="165" fontId="25" fillId="2" borderId="3" xfId="2" applyNumberFormat="1" applyFont="1" applyFill="1" applyBorder="1" applyAlignment="1">
      <alignment horizontal="center" vertical="center"/>
    </xf>
    <xf numFmtId="165" fontId="25" fillId="2" borderId="20" xfId="2" applyNumberFormat="1" applyFont="1" applyFill="1" applyBorder="1" applyAlignment="1">
      <alignment horizontal="center" vertical="center"/>
    </xf>
    <xf numFmtId="165" fontId="23" fillId="2" borderId="3" xfId="2" applyNumberFormat="1" applyFont="1" applyFill="1" applyBorder="1" applyAlignment="1">
      <alignment horizontal="center" vertical="center"/>
    </xf>
    <xf numFmtId="165" fontId="23" fillId="2" borderId="20" xfId="2" applyNumberFormat="1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center" vertical="center" wrapText="1"/>
    </xf>
    <xf numFmtId="0" fontId="31" fillId="4" borderId="21" xfId="5" applyFont="1" applyFill="1" applyBorder="1" applyAlignment="1">
      <alignment horizontal="center" vertical="center"/>
    </xf>
    <xf numFmtId="0" fontId="23" fillId="4" borderId="20" xfId="0" applyFont="1" applyFill="1" applyBorder="1" applyAlignment="1">
      <alignment horizontal="center" vertical="center"/>
    </xf>
    <xf numFmtId="0" fontId="22" fillId="0" borderId="3" xfId="5" applyFont="1" applyBorder="1" applyAlignment="1">
      <alignment horizontal="left" vertical="center"/>
    </xf>
    <xf numFmtId="0" fontId="22" fillId="2" borderId="3" xfId="5" applyFont="1" applyFill="1" applyBorder="1" applyAlignment="1">
      <alignment horizontal="left" vertical="center"/>
    </xf>
    <xf numFmtId="0" fontId="22" fillId="2" borderId="3" xfId="0" applyFont="1" applyFill="1" applyBorder="1" applyAlignment="1">
      <alignment horizontal="left" vertical="center"/>
    </xf>
    <xf numFmtId="0" fontId="22" fillId="2" borderId="3" xfId="4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center" vertical="center"/>
    </xf>
    <xf numFmtId="165" fontId="27" fillId="2" borderId="3" xfId="0" applyNumberFormat="1" applyFont="1" applyFill="1" applyBorder="1" applyAlignment="1">
      <alignment horizontal="center" vertical="center"/>
    </xf>
    <xf numFmtId="165" fontId="27" fillId="2" borderId="3" xfId="7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29" fillId="2" borderId="3" xfId="0" applyNumberFormat="1" applyFont="1" applyFill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1" fontId="29" fillId="2" borderId="4" xfId="0" applyNumberFormat="1" applyFont="1" applyFill="1" applyBorder="1" applyAlignment="1">
      <alignment horizontal="center" vertical="center" shrinkToFit="1"/>
    </xf>
    <xf numFmtId="165" fontId="27" fillId="2" borderId="4" xfId="7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8" fillId="5" borderId="20" xfId="0" applyFont="1" applyFill="1" applyBorder="1" applyAlignment="1">
      <alignment horizontal="center" vertical="center"/>
    </xf>
    <xf numFmtId="0" fontId="27" fillId="2" borderId="21" xfId="0" applyFont="1" applyFill="1" applyBorder="1" applyAlignment="1">
      <alignment horizontal="center" vertical="center"/>
    </xf>
    <xf numFmtId="165" fontId="27" fillId="2" borderId="20" xfId="7" applyNumberFormat="1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65" fontId="27" fillId="2" borderId="24" xfId="7" applyNumberFormat="1" applyFont="1" applyFill="1" applyBorder="1" applyAlignment="1">
      <alignment horizontal="center" vertical="center"/>
    </xf>
    <xf numFmtId="165" fontId="32" fillId="2" borderId="10" xfId="0" applyNumberFormat="1" applyFont="1" applyFill="1" applyBorder="1" applyAlignment="1">
      <alignment horizontal="center" vertical="center"/>
    </xf>
    <xf numFmtId="0" fontId="32" fillId="2" borderId="10" xfId="0" applyFont="1" applyFill="1" applyBorder="1" applyAlignment="1">
      <alignment horizontal="center" vertical="center" wrapText="1"/>
    </xf>
    <xf numFmtId="0" fontId="32" fillId="2" borderId="10" xfId="0" applyFont="1" applyFill="1" applyBorder="1" applyAlignment="1">
      <alignment horizontal="center" vertical="center"/>
    </xf>
    <xf numFmtId="165" fontId="32" fillId="2" borderId="25" xfId="0" applyNumberFormat="1" applyFont="1" applyFill="1" applyBorder="1" applyAlignment="1">
      <alignment horizontal="center" vertical="center"/>
    </xf>
    <xf numFmtId="0" fontId="38" fillId="0" borderId="4" xfId="0" applyFont="1" applyBorder="1" applyAlignment="1">
      <alignment horizontal="left" vertical="center" wrapText="1"/>
    </xf>
    <xf numFmtId="165" fontId="28" fillId="7" borderId="14" xfId="7" applyNumberFormat="1" applyFont="1" applyFill="1" applyBorder="1" applyAlignment="1">
      <alignment horizontal="center" vertical="center"/>
    </xf>
    <xf numFmtId="0" fontId="37" fillId="2" borderId="43" xfId="12" applyFont="1" applyFill="1" applyBorder="1" applyAlignment="1">
      <alignment horizontal="center" vertical="center"/>
    </xf>
    <xf numFmtId="165" fontId="37" fillId="0" borderId="20" xfId="12" applyNumberFormat="1" applyFont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/>
    </xf>
    <xf numFmtId="165" fontId="32" fillId="2" borderId="4" xfId="0" applyNumberFormat="1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/>
    </xf>
    <xf numFmtId="165" fontId="32" fillId="2" borderId="24" xfId="0" applyNumberFormat="1" applyFont="1" applyFill="1" applyBorder="1" applyAlignment="1">
      <alignment horizontal="center" vertical="center"/>
    </xf>
    <xf numFmtId="0" fontId="39" fillId="5" borderId="2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39" fillId="5" borderId="3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2" fillId="2" borderId="3" xfId="15" applyFont="1" applyFill="1" applyBorder="1" applyAlignment="1">
      <alignment horizontal="left" vertical="center" wrapText="1"/>
    </xf>
    <xf numFmtId="0" fontId="32" fillId="2" borderId="3" xfId="0" applyFont="1" applyFill="1" applyBorder="1" applyAlignment="1">
      <alignment horizontal="left" vertical="center" wrapText="1"/>
    </xf>
    <xf numFmtId="0" fontId="37" fillId="0" borderId="3" xfId="15" applyFont="1" applyBorder="1" applyAlignment="1">
      <alignment horizontal="left" vertical="center" wrapText="1"/>
    </xf>
    <xf numFmtId="0" fontId="22" fillId="2" borderId="3" xfId="5" applyFont="1" applyFill="1" applyBorder="1" applyAlignment="1">
      <alignment horizontal="left" vertical="center" wrapText="1"/>
    </xf>
    <xf numFmtId="0" fontId="23" fillId="4" borderId="3" xfId="5" applyFont="1" applyFill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3" fillId="0" borderId="21" xfId="5" applyFont="1" applyBorder="1" applyAlignment="1">
      <alignment horizontal="center" vertical="center" wrapText="1"/>
    </xf>
    <xf numFmtId="0" fontId="23" fillId="5" borderId="21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0" fontId="22" fillId="0" borderId="3" xfId="5" applyFont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3" fillId="4" borderId="20" xfId="5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left" vertical="center" wrapText="1"/>
    </xf>
    <xf numFmtId="0" fontId="22" fillId="2" borderId="3" xfId="4" applyFont="1" applyFill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center" vertical="center" wrapText="1"/>
    </xf>
    <xf numFmtId="0" fontId="22" fillId="0" borderId="3" xfId="5" applyFont="1" applyBorder="1" applyAlignment="1">
      <alignment vertical="center" wrapText="1"/>
    </xf>
    <xf numFmtId="0" fontId="23" fillId="4" borderId="3" xfId="5" applyFont="1" applyFill="1" applyBorder="1" applyAlignment="1">
      <alignment vertical="center"/>
    </xf>
    <xf numFmtId="0" fontId="23" fillId="4" borderId="20" xfId="5" applyFont="1" applyFill="1" applyBorder="1" applyAlignment="1">
      <alignment vertical="center"/>
    </xf>
    <xf numFmtId="0" fontId="26" fillId="2" borderId="21" xfId="5" applyFont="1" applyFill="1" applyBorder="1" applyAlignment="1">
      <alignment vertical="center" wrapText="1"/>
    </xf>
    <xf numFmtId="0" fontId="26" fillId="2" borderId="3" xfId="5" applyFont="1" applyFill="1" applyBorder="1" applyAlignment="1">
      <alignment vertical="center" wrapText="1"/>
    </xf>
    <xf numFmtId="0" fontId="26" fillId="2" borderId="20" xfId="5" applyFont="1" applyFill="1" applyBorder="1" applyAlignment="1">
      <alignment vertical="center" wrapText="1"/>
    </xf>
    <xf numFmtId="0" fontId="23" fillId="2" borderId="3" xfId="5" applyFont="1" applyFill="1" applyBorder="1" applyAlignment="1">
      <alignment vertical="center"/>
    </xf>
    <xf numFmtId="0" fontId="23" fillId="2" borderId="20" xfId="5" applyFont="1" applyFill="1" applyBorder="1" applyAlignment="1">
      <alignment vertical="center"/>
    </xf>
    <xf numFmtId="0" fontId="23" fillId="4" borderId="3" xfId="5" applyFont="1" applyFill="1" applyBorder="1" applyAlignment="1">
      <alignment vertical="center" wrapText="1"/>
    </xf>
    <xf numFmtId="0" fontId="23" fillId="4" borderId="20" xfId="5" applyFont="1" applyFill="1" applyBorder="1" applyAlignment="1">
      <alignment vertical="center" wrapText="1"/>
    </xf>
    <xf numFmtId="0" fontId="32" fillId="4" borderId="20" xfId="0" applyFont="1" applyFill="1" applyBorder="1" applyAlignment="1">
      <alignment horizontal="center" vertical="center" wrapText="1"/>
    </xf>
    <xf numFmtId="10" fontId="23" fillId="2" borderId="20" xfId="2" applyNumberFormat="1" applyFont="1" applyFill="1" applyBorder="1" applyAlignment="1">
      <alignment horizontal="center" vertical="center"/>
    </xf>
    <xf numFmtId="0" fontId="23" fillId="8" borderId="3" xfId="5" applyFont="1" applyFill="1" applyBorder="1" applyAlignment="1">
      <alignment vertical="center"/>
    </xf>
    <xf numFmtId="0" fontId="23" fillId="8" borderId="20" xfId="5" applyFont="1" applyFill="1" applyBorder="1" applyAlignment="1">
      <alignment vertical="center"/>
    </xf>
    <xf numFmtId="0" fontId="23" fillId="0" borderId="20" xfId="0" applyFont="1" applyBorder="1" applyAlignment="1">
      <alignment vertical="center"/>
    </xf>
    <xf numFmtId="0" fontId="22" fillId="4" borderId="20" xfId="0" applyFont="1" applyFill="1" applyBorder="1" applyAlignment="1">
      <alignment horizontal="left" vertical="center" wrapText="1"/>
    </xf>
    <xf numFmtId="0" fontId="32" fillId="4" borderId="20" xfId="0" applyFont="1" applyFill="1" applyBorder="1" applyAlignment="1">
      <alignment horizontal="left" vertical="center" wrapText="1"/>
    </xf>
    <xf numFmtId="165" fontId="23" fillId="7" borderId="13" xfId="12" applyNumberFormat="1" applyFont="1" applyFill="1" applyBorder="1" applyAlignment="1">
      <alignment horizontal="center" vertical="center" wrapText="1"/>
    </xf>
    <xf numFmtId="1" fontId="37" fillId="0" borderId="35" xfId="12" applyNumberFormat="1" applyFont="1" applyBorder="1" applyAlignment="1">
      <alignment horizontal="center" vertical="center" shrinkToFit="1"/>
    </xf>
    <xf numFmtId="0" fontId="22" fillId="2" borderId="10" xfId="15" applyFont="1" applyFill="1" applyBorder="1" applyAlignment="1">
      <alignment horizontal="left" vertical="center" wrapText="1"/>
    </xf>
    <xf numFmtId="0" fontId="22" fillId="0" borderId="10" xfId="12" applyFont="1" applyBorder="1" applyAlignment="1">
      <alignment horizontal="center" vertical="center" wrapText="1"/>
    </xf>
    <xf numFmtId="1" fontId="37" fillId="0" borderId="10" xfId="12" applyNumberFormat="1" applyFont="1" applyBorder="1" applyAlignment="1">
      <alignment horizontal="center" vertical="center" shrinkToFit="1"/>
    </xf>
    <xf numFmtId="165" fontId="37" fillId="0" borderId="10" xfId="12" applyNumberFormat="1" applyFont="1" applyBorder="1" applyAlignment="1">
      <alignment horizontal="center" vertical="center" wrapText="1"/>
    </xf>
    <xf numFmtId="165" fontId="37" fillId="0" borderId="25" xfId="12" applyNumberFormat="1" applyFont="1" applyBorder="1" applyAlignment="1">
      <alignment horizontal="center" vertical="center" wrapText="1"/>
    </xf>
    <xf numFmtId="165" fontId="28" fillId="7" borderId="13" xfId="7" applyNumberFormat="1" applyFont="1" applyFill="1" applyBorder="1" applyAlignment="1">
      <alignment horizontal="center" vertical="center"/>
    </xf>
    <xf numFmtId="0" fontId="27" fillId="2" borderId="34" xfId="0" applyFont="1" applyFill="1" applyBorder="1" applyAlignment="1">
      <alignment horizontal="center" vertical="center" wrapText="1"/>
    </xf>
    <xf numFmtId="0" fontId="35" fillId="0" borderId="31" xfId="0" applyFont="1" applyBorder="1" applyAlignment="1">
      <alignment horizontal="left" vertical="center" wrapText="1"/>
    </xf>
    <xf numFmtId="0" fontId="27" fillId="0" borderId="31" xfId="0" applyFont="1" applyBorder="1" applyAlignment="1">
      <alignment horizontal="center" vertical="center"/>
    </xf>
    <xf numFmtId="1" fontId="29" fillId="0" borderId="31" xfId="0" applyNumberFormat="1" applyFont="1" applyBorder="1" applyAlignment="1">
      <alignment horizontal="center" vertical="center" shrinkToFit="1"/>
    </xf>
    <xf numFmtId="165" fontId="27" fillId="0" borderId="31" xfId="7" applyNumberFormat="1" applyFont="1" applyBorder="1" applyAlignment="1">
      <alignment horizontal="center" vertical="center"/>
    </xf>
    <xf numFmtId="165" fontId="27" fillId="0" borderId="33" xfId="7" applyNumberFormat="1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38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4" xfId="0" applyFont="1" applyBorder="1" applyAlignment="1">
      <alignment horizontal="center" vertical="center" wrapText="1"/>
    </xf>
    <xf numFmtId="0" fontId="31" fillId="5" borderId="8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0" fontId="31" fillId="5" borderId="9" xfId="0" applyFont="1" applyFill="1" applyBorder="1" applyAlignment="1">
      <alignment horizontal="center" vertical="center"/>
    </xf>
    <xf numFmtId="0" fontId="23" fillId="5" borderId="8" xfId="12" applyFont="1" applyFill="1" applyBorder="1" applyAlignment="1">
      <alignment horizontal="center" vertical="center" wrapText="1"/>
    </xf>
    <xf numFmtId="0" fontId="23" fillId="5" borderId="6" xfId="12" applyFont="1" applyFill="1" applyBorder="1" applyAlignment="1">
      <alignment horizontal="center" vertical="center" wrapText="1"/>
    </xf>
    <xf numFmtId="0" fontId="31" fillId="2" borderId="40" xfId="0" applyFont="1" applyFill="1" applyBorder="1" applyAlignment="1">
      <alignment horizontal="center" vertical="center"/>
    </xf>
    <xf numFmtId="0" fontId="31" fillId="2" borderId="30" xfId="0" applyFont="1" applyFill="1" applyBorder="1" applyAlignment="1">
      <alignment horizontal="center" vertical="center"/>
    </xf>
    <xf numFmtId="0" fontId="31" fillId="2" borderId="34" xfId="0" applyFont="1" applyFill="1" applyBorder="1" applyAlignment="1">
      <alignment horizontal="center" vertical="center"/>
    </xf>
    <xf numFmtId="0" fontId="31" fillId="2" borderId="21" xfId="0" applyFont="1" applyFill="1" applyBorder="1" applyAlignment="1">
      <alignment horizontal="center" vertical="center"/>
    </xf>
    <xf numFmtId="0" fontId="31" fillId="2" borderId="35" xfId="0" applyFont="1" applyFill="1" applyBorder="1" applyAlignment="1">
      <alignment horizontal="center" vertical="center"/>
    </xf>
    <xf numFmtId="0" fontId="31" fillId="2" borderId="45" xfId="0" applyFont="1" applyFill="1" applyBorder="1" applyAlignment="1">
      <alignment horizontal="center" vertical="center"/>
    </xf>
    <xf numFmtId="0" fontId="23" fillId="7" borderId="26" xfId="0" applyFont="1" applyFill="1" applyBorder="1" applyAlignment="1">
      <alignment horizontal="center" vertical="center"/>
    </xf>
    <xf numFmtId="0" fontId="23" fillId="7" borderId="27" xfId="0" applyFont="1" applyFill="1" applyBorder="1" applyAlignment="1">
      <alignment horizontal="center" vertical="center"/>
    </xf>
    <xf numFmtId="0" fontId="23" fillId="7" borderId="28" xfId="0" applyFont="1" applyFill="1" applyBorder="1" applyAlignment="1">
      <alignment horizontal="center" vertical="center"/>
    </xf>
    <xf numFmtId="0" fontId="31" fillId="5" borderId="19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23" fillId="7" borderId="34" xfId="12" applyFont="1" applyFill="1" applyBorder="1" applyAlignment="1">
      <alignment horizontal="center" vertical="center"/>
    </xf>
    <xf numFmtId="0" fontId="23" fillId="7" borderId="31" xfId="12" applyFont="1" applyFill="1" applyBorder="1" applyAlignment="1">
      <alignment horizontal="center" vertical="center"/>
    </xf>
    <xf numFmtId="0" fontId="23" fillId="7" borderId="33" xfId="12" applyFont="1" applyFill="1" applyBorder="1" applyAlignment="1">
      <alignment horizontal="center" vertical="center"/>
    </xf>
    <xf numFmtId="0" fontId="23" fillId="5" borderId="16" xfId="12" applyFont="1" applyFill="1" applyBorder="1" applyAlignment="1">
      <alignment horizontal="center" vertical="center" wrapText="1"/>
    </xf>
    <xf numFmtId="0" fontId="23" fillId="5" borderId="39" xfId="12" applyFont="1" applyFill="1" applyBorder="1" applyAlignment="1">
      <alignment horizontal="center" vertical="center" wrapText="1"/>
    </xf>
    <xf numFmtId="0" fontId="22" fillId="2" borderId="3" xfId="5" applyFont="1" applyFill="1" applyBorder="1" applyAlignment="1">
      <alignment horizontal="left" vertical="center" wrapText="1"/>
    </xf>
    <xf numFmtId="0" fontId="23" fillId="0" borderId="3" xfId="5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3" fillId="6" borderId="21" xfId="5" applyFont="1" applyFill="1" applyBorder="1" applyAlignment="1">
      <alignment horizontal="center" vertical="center" wrapText="1"/>
    </xf>
    <xf numFmtId="0" fontId="23" fillId="6" borderId="3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horizontal="center" vertical="center"/>
    </xf>
    <xf numFmtId="0" fontId="23" fillId="8" borderId="21" xfId="5" applyFont="1" applyFill="1" applyBorder="1" applyAlignment="1">
      <alignment horizontal="center" vertical="center"/>
    </xf>
    <xf numFmtId="0" fontId="23" fillId="8" borderId="3" xfId="5" applyFont="1" applyFill="1" applyBorder="1" applyAlignment="1">
      <alignment horizontal="center" vertical="center"/>
    </xf>
    <xf numFmtId="0" fontId="23" fillId="2" borderId="21" xfId="3" applyFont="1" applyFill="1" applyBorder="1" applyAlignment="1">
      <alignment horizontal="center" vertical="center"/>
    </xf>
    <xf numFmtId="0" fontId="23" fillId="2" borderId="3" xfId="3" applyFont="1" applyFill="1" applyBorder="1" applyAlignment="1">
      <alignment horizontal="center" vertical="center"/>
    </xf>
    <xf numFmtId="0" fontId="23" fillId="2" borderId="20" xfId="3" applyFont="1" applyFill="1" applyBorder="1" applyAlignment="1">
      <alignment horizontal="center" vertical="center"/>
    </xf>
    <xf numFmtId="0" fontId="23" fillId="4" borderId="21" xfId="3" applyFont="1" applyFill="1" applyBorder="1" applyAlignment="1">
      <alignment horizontal="center" vertical="center" wrapText="1"/>
    </xf>
    <xf numFmtId="0" fontId="23" fillId="4" borderId="3" xfId="3" applyFont="1" applyFill="1" applyBorder="1" applyAlignment="1">
      <alignment horizontal="center" vertical="center" wrapText="1"/>
    </xf>
    <xf numFmtId="0" fontId="23" fillId="4" borderId="20" xfId="3" applyFont="1" applyFill="1" applyBorder="1" applyAlignment="1">
      <alignment horizontal="center" vertical="center" wrapText="1"/>
    </xf>
    <xf numFmtId="0" fontId="23" fillId="5" borderId="35" xfId="5" applyFont="1" applyFill="1" applyBorder="1" applyAlignment="1">
      <alignment horizontal="center" vertical="center" wrapText="1"/>
    </xf>
    <xf numFmtId="0" fontId="23" fillId="5" borderId="10" xfId="5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4" borderId="3" xfId="5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6" fillId="2" borderId="19" xfId="5" applyFont="1" applyFill="1" applyBorder="1" applyAlignment="1">
      <alignment horizontal="center" vertical="center" wrapText="1"/>
    </xf>
    <xf numFmtId="0" fontId="26" fillId="2" borderId="46" xfId="5" applyFont="1" applyFill="1" applyBorder="1" applyAlignment="1">
      <alignment horizontal="center" vertical="center" wrapText="1"/>
    </xf>
    <xf numFmtId="0" fontId="26" fillId="2" borderId="36" xfId="5" applyFont="1" applyFill="1" applyBorder="1" applyAlignment="1">
      <alignment horizontal="center" vertical="center" wrapText="1"/>
    </xf>
    <xf numFmtId="0" fontId="23" fillId="5" borderId="21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left" vertical="center" wrapText="1"/>
    </xf>
    <xf numFmtId="0" fontId="23" fillId="0" borderId="3" xfId="5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0" borderId="21" xfId="5" applyFont="1" applyBorder="1" applyAlignment="1">
      <alignment horizontal="center" vertical="center" wrapText="1"/>
    </xf>
    <xf numFmtId="0" fontId="23" fillId="3" borderId="21" xfId="5" applyFont="1" applyFill="1" applyBorder="1" applyAlignment="1">
      <alignment horizontal="center" vertical="center" wrapText="1"/>
    </xf>
    <xf numFmtId="0" fontId="23" fillId="3" borderId="3" xfId="5" applyFont="1" applyFill="1" applyBorder="1" applyAlignment="1">
      <alignment horizontal="center" vertical="center" wrapText="1"/>
    </xf>
    <xf numFmtId="0" fontId="22" fillId="0" borderId="3" xfId="5" applyFont="1" applyBorder="1" applyAlignment="1">
      <alignment horizontal="left" vertical="center" wrapText="1"/>
    </xf>
    <xf numFmtId="0" fontId="31" fillId="4" borderId="3" xfId="5" applyFont="1" applyFill="1" applyBorder="1" applyAlignment="1">
      <alignment horizontal="left" vertical="center" wrapText="1"/>
    </xf>
    <xf numFmtId="0" fontId="32" fillId="4" borderId="3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left" vertical="center" wrapText="1"/>
    </xf>
    <xf numFmtId="0" fontId="23" fillId="0" borderId="3" xfId="5" applyFont="1" applyBorder="1" applyAlignment="1">
      <alignment horizontal="left" vertical="center"/>
    </xf>
    <xf numFmtId="0" fontId="23" fillId="2" borderId="21" xfId="5" applyFont="1" applyFill="1" applyBorder="1" applyAlignment="1">
      <alignment horizontal="center" vertical="center"/>
    </xf>
    <xf numFmtId="0" fontId="23" fillId="2" borderId="3" xfId="5" applyFont="1" applyFill="1" applyBorder="1" applyAlignment="1">
      <alignment horizontal="center" vertical="center"/>
    </xf>
    <xf numFmtId="0" fontId="23" fillId="6" borderId="34" xfId="0" applyFont="1" applyFill="1" applyBorder="1" applyAlignment="1">
      <alignment horizontal="center" vertical="center"/>
    </xf>
    <xf numFmtId="0" fontId="23" fillId="6" borderId="31" xfId="0" applyFont="1" applyFill="1" applyBorder="1" applyAlignment="1">
      <alignment horizontal="center" vertical="center"/>
    </xf>
    <xf numFmtId="0" fontId="23" fillId="6" borderId="33" xfId="0" applyFont="1" applyFill="1" applyBorder="1" applyAlignment="1">
      <alignment horizontal="center" vertical="center"/>
    </xf>
    <xf numFmtId="0" fontId="22" fillId="2" borderId="3" xfId="4" applyFont="1" applyFill="1" applyBorder="1" applyAlignment="1">
      <alignment horizontal="center" vertical="center" wrapText="1"/>
    </xf>
    <xf numFmtId="0" fontId="22" fillId="2" borderId="20" xfId="4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3" xfId="3" applyFont="1" applyFill="1" applyBorder="1" applyAlignment="1">
      <alignment horizontal="center" vertical="center" wrapText="1"/>
    </xf>
    <xf numFmtId="0" fontId="23" fillId="2" borderId="20" xfId="3" applyFont="1" applyFill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22" fillId="2" borderId="20" xfId="3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3" fillId="2" borderId="20" xfId="5" applyFont="1" applyFill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4" fontId="31" fillId="0" borderId="46" xfId="0" applyNumberFormat="1" applyFont="1" applyBorder="1" applyAlignment="1">
      <alignment horizontal="center" vertical="center"/>
    </xf>
    <xf numFmtId="4" fontId="31" fillId="0" borderId="2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4" fontId="23" fillId="0" borderId="46" xfId="0" applyNumberFormat="1" applyFont="1" applyBorder="1" applyAlignment="1">
      <alignment horizontal="center" vertical="center"/>
    </xf>
    <xf numFmtId="4" fontId="23" fillId="0" borderId="36" xfId="0" applyNumberFormat="1" applyFont="1" applyBorder="1" applyAlignment="1">
      <alignment horizontal="center" vertical="center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46" xfId="5" applyNumberFormat="1" applyFont="1" applyFill="1" applyBorder="1" applyAlignment="1">
      <alignment horizontal="center" vertical="center" wrapText="1"/>
    </xf>
    <xf numFmtId="4" fontId="23" fillId="2" borderId="36" xfId="5" applyNumberFormat="1" applyFont="1" applyFill="1" applyBorder="1" applyAlignment="1">
      <alignment horizontal="center" vertical="center" wrapText="1"/>
    </xf>
    <xf numFmtId="0" fontId="23" fillId="8" borderId="19" xfId="5" applyFont="1" applyFill="1" applyBorder="1" applyAlignment="1">
      <alignment horizontal="center" vertical="center"/>
    </xf>
    <xf numFmtId="0" fontId="23" fillId="8" borderId="46" xfId="5" applyFont="1" applyFill="1" applyBorder="1" applyAlignment="1">
      <alignment horizontal="center" vertical="center"/>
    </xf>
    <xf numFmtId="0" fontId="23" fillId="8" borderId="2" xfId="5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 wrapText="1"/>
    </xf>
    <xf numFmtId="0" fontId="31" fillId="4" borderId="3" xfId="5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center" vertical="center" wrapText="1"/>
    </xf>
    <xf numFmtId="0" fontId="23" fillId="4" borderId="19" xfId="5" applyFont="1" applyFill="1" applyBorder="1" applyAlignment="1">
      <alignment horizontal="center" vertical="center"/>
    </xf>
    <xf numFmtId="0" fontId="23" fillId="4" borderId="46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9" borderId="21" xfId="5" applyFont="1" applyFill="1" applyBorder="1" applyAlignment="1">
      <alignment horizontal="center" vertical="center" wrapText="1"/>
    </xf>
    <xf numFmtId="0" fontId="23" fillId="9" borderId="3" xfId="5" applyFont="1" applyFill="1" applyBorder="1" applyAlignment="1">
      <alignment horizontal="center" vertical="center" wrapText="1"/>
    </xf>
    <xf numFmtId="4" fontId="31" fillId="0" borderId="3" xfId="0" applyNumberFormat="1" applyFont="1" applyBorder="1" applyAlignment="1">
      <alignment horizontal="center" vertical="center"/>
    </xf>
    <xf numFmtId="4" fontId="31" fillId="0" borderId="20" xfId="0" applyNumberFormat="1" applyFont="1" applyBorder="1" applyAlignment="1">
      <alignment horizontal="center" vertical="center"/>
    </xf>
    <xf numFmtId="4" fontId="23" fillId="2" borderId="3" xfId="5" applyNumberFormat="1" applyFont="1" applyFill="1" applyBorder="1" applyAlignment="1">
      <alignment horizontal="center" vertical="center" wrapText="1"/>
    </xf>
    <xf numFmtId="4" fontId="23" fillId="2" borderId="20" xfId="5" applyNumberFormat="1" applyFont="1" applyFill="1" applyBorder="1" applyAlignment="1">
      <alignment horizontal="center" vertical="center" wrapText="1"/>
    </xf>
    <xf numFmtId="0" fontId="23" fillId="0" borderId="3" xfId="5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8" borderId="20" xfId="5" applyFont="1" applyFill="1" applyBorder="1" applyAlignment="1">
      <alignment horizontal="center" vertical="center"/>
    </xf>
    <xf numFmtId="0" fontId="26" fillId="2" borderId="21" xfId="5" applyFont="1" applyFill="1" applyBorder="1" applyAlignment="1">
      <alignment horizontal="center" vertical="center" wrapText="1"/>
    </xf>
    <xf numFmtId="0" fontId="26" fillId="2" borderId="3" xfId="5" applyFont="1" applyFill="1" applyBorder="1" applyAlignment="1">
      <alignment horizontal="center" vertical="center" wrapText="1"/>
    </xf>
    <xf numFmtId="0" fontId="26" fillId="2" borderId="20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4" borderId="20" xfId="5" applyFont="1" applyFill="1" applyBorder="1" applyAlignment="1">
      <alignment horizontal="center" vertical="center" wrapText="1"/>
    </xf>
    <xf numFmtId="0" fontId="23" fillId="2" borderId="20" xfId="5" applyFont="1" applyFill="1" applyBorder="1" applyAlignment="1">
      <alignment horizontal="center" vertical="center"/>
    </xf>
    <xf numFmtId="0" fontId="22" fillId="0" borderId="3" xfId="5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4" fontId="31" fillId="0" borderId="36" xfId="0" applyNumberFormat="1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43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4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39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165" fontId="31" fillId="0" borderId="3" xfId="0" applyNumberFormat="1" applyFont="1" applyBorder="1" applyAlignment="1">
      <alignment horizontal="center" vertical="center"/>
    </xf>
    <xf numFmtId="165" fontId="31" fillId="0" borderId="20" xfId="0" applyNumberFormat="1" applyFont="1" applyBorder="1" applyAlignment="1">
      <alignment horizontal="center" vertical="center"/>
    </xf>
    <xf numFmtId="0" fontId="31" fillId="7" borderId="18" xfId="0" applyFont="1" applyFill="1" applyBorder="1" applyAlignment="1">
      <alignment horizontal="center"/>
    </xf>
    <xf numFmtId="0" fontId="31" fillId="7" borderId="38" xfId="0" applyFont="1" applyFill="1" applyBorder="1" applyAlignment="1">
      <alignment horizontal="center"/>
    </xf>
    <xf numFmtId="0" fontId="31" fillId="7" borderId="17" xfId="0" applyFont="1" applyFill="1" applyBorder="1" applyAlignment="1">
      <alignment horizontal="center"/>
    </xf>
    <xf numFmtId="0" fontId="2" fillId="5" borderId="35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3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8" fillId="7" borderId="16" xfId="0" applyFont="1" applyFill="1" applyBorder="1" applyAlignment="1">
      <alignment horizontal="center" vertical="center" wrapText="1"/>
    </xf>
    <xf numFmtId="0" fontId="28" fillId="7" borderId="39" xfId="0" applyFont="1" applyFill="1" applyBorder="1" applyAlignment="1">
      <alignment horizontal="center" vertical="center" wrapText="1"/>
    </xf>
    <xf numFmtId="0" fontId="28" fillId="7" borderId="15" xfId="0" applyFont="1" applyFill="1" applyBorder="1" applyAlignment="1">
      <alignment horizontal="center" vertical="center" wrapText="1"/>
    </xf>
    <xf numFmtId="0" fontId="28" fillId="7" borderId="5" xfId="0" applyFont="1" applyFill="1" applyBorder="1" applyAlignment="1">
      <alignment horizontal="center" vertical="center"/>
    </xf>
    <xf numFmtId="0" fontId="28" fillId="7" borderId="29" xfId="0" applyFont="1" applyFill="1" applyBorder="1" applyAlignment="1">
      <alignment horizontal="center" vertical="center"/>
    </xf>
    <xf numFmtId="0" fontId="28" fillId="7" borderId="7" xfId="0" applyFont="1" applyFill="1" applyBorder="1" applyAlignment="1">
      <alignment horizontal="center" vertical="center"/>
    </xf>
    <xf numFmtId="0" fontId="28" fillId="7" borderId="8" xfId="0" applyFont="1" applyFill="1" applyBorder="1" applyAlignment="1">
      <alignment horizontal="center" vertical="center" wrapText="1"/>
    </xf>
    <xf numFmtId="0" fontId="28" fillId="7" borderId="6" xfId="0" applyFont="1" applyFill="1" applyBorder="1" applyAlignment="1">
      <alignment horizontal="center" vertical="center" wrapText="1"/>
    </xf>
    <xf numFmtId="0" fontId="28" fillId="7" borderId="9" xfId="0" applyFont="1" applyFill="1" applyBorder="1" applyAlignment="1">
      <alignment horizontal="center" vertical="center" wrapText="1"/>
    </xf>
    <xf numFmtId="0" fontId="27" fillId="2" borderId="4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44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8" fillId="5" borderId="8" xfId="0" applyFont="1" applyFill="1" applyBorder="1" applyAlignment="1">
      <alignment horizontal="center" vertical="center"/>
    </xf>
    <xf numFmtId="0" fontId="28" fillId="5" borderId="6" xfId="0" applyFont="1" applyFill="1" applyBorder="1" applyAlignment="1">
      <alignment horizontal="center" vertical="center"/>
    </xf>
    <xf numFmtId="0" fontId="28" fillId="5" borderId="9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8" fillId="7" borderId="18" xfId="0" applyFont="1" applyFill="1" applyBorder="1" applyAlignment="1">
      <alignment horizontal="center" vertical="top" wrapText="1"/>
    </xf>
    <xf numFmtId="0" fontId="28" fillId="7" borderId="38" xfId="0" applyFont="1" applyFill="1" applyBorder="1" applyAlignment="1">
      <alignment horizontal="center" vertical="top" wrapText="1"/>
    </xf>
    <xf numFmtId="0" fontId="28" fillId="7" borderId="17" xfId="0" applyFont="1" applyFill="1" applyBorder="1" applyAlignment="1">
      <alignment horizontal="center" vertical="top" wrapText="1"/>
    </xf>
    <xf numFmtId="0" fontId="28" fillId="7" borderId="40" xfId="0" applyFont="1" applyFill="1" applyBorder="1" applyAlignment="1">
      <alignment horizontal="center" vertical="center" wrapText="1"/>
    </xf>
    <xf numFmtId="0" fontId="28" fillId="7" borderId="41" xfId="0" applyFont="1" applyFill="1" applyBorder="1" applyAlignment="1">
      <alignment horizontal="center" vertical="center" wrapText="1"/>
    </xf>
    <xf numFmtId="0" fontId="28" fillId="7" borderId="42" xfId="0" applyFont="1" applyFill="1" applyBorder="1" applyAlignment="1">
      <alignment horizontal="center" vertical="center" wrapText="1"/>
    </xf>
    <xf numFmtId="0" fontId="28" fillId="5" borderId="5" xfId="0" applyFont="1" applyFill="1" applyBorder="1" applyAlignment="1">
      <alignment horizontal="center" vertical="center" wrapText="1"/>
    </xf>
    <xf numFmtId="0" fontId="28" fillId="5" borderId="29" xfId="0" applyFont="1" applyFill="1" applyBorder="1" applyAlignment="1">
      <alignment horizontal="center" vertical="center" wrapText="1"/>
    </xf>
    <xf numFmtId="0" fontId="28" fillId="5" borderId="7" xfId="0" applyFont="1" applyFill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/>
    </xf>
    <xf numFmtId="0" fontId="38" fillId="0" borderId="31" xfId="0" applyFont="1" applyBorder="1" applyAlignment="1">
      <alignment horizontal="left" vertical="center" wrapText="1"/>
    </xf>
    <xf numFmtId="0" fontId="29" fillId="0" borderId="31" xfId="0" applyNumberFormat="1" applyFont="1" applyBorder="1" applyAlignment="1">
      <alignment horizontal="center" vertical="center" shrinkToFit="1"/>
    </xf>
  </cellXfs>
  <cellStyles count="16">
    <cellStyle name="Estilo 1" xfId="8"/>
    <cellStyle name="Hiperlink" xfId="6" builtinId="8"/>
    <cellStyle name="Moeda" xfId="1" builtinId="4"/>
    <cellStyle name="Moeda 2" xfId="11"/>
    <cellStyle name="Moeda 2 2" xfId="14"/>
    <cellStyle name="Normal" xfId="0" builtinId="0"/>
    <cellStyle name="Normal 2" xfId="5"/>
    <cellStyle name="Normal 3" xfId="9"/>
    <cellStyle name="Normal 4" xfId="3"/>
    <cellStyle name="Normal 5" xfId="4"/>
    <cellStyle name="Normal 6" xfId="15"/>
    <cellStyle name="Normal 7" xfId="12"/>
    <cellStyle name="Porcentagem" xfId="2" builtinId="5"/>
    <cellStyle name="Vírgula" xfId="7" builtinId="3"/>
    <cellStyle name="Vírgula 2" xfId="10"/>
    <cellStyle name="Vírgula 2 2" xfId="1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%20-%20Planilha%20Ambulancia%20-%20LOTE%20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G6">
            <v>96</v>
          </cell>
        </row>
      </sheetData>
      <sheetData sheetId="12"/>
      <sheetData sheetId="13"/>
    </sheetDataSet>
  </externalBook>
</externalLink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53</v>
      </c>
    </row>
    <row r="2" spans="1:5" ht="21" x14ac:dyDescent="0.35">
      <c r="A2" s="313" t="s">
        <v>54</v>
      </c>
      <c r="B2" s="313"/>
      <c r="C2" s="313"/>
      <c r="E2" s="2" t="s">
        <v>55</v>
      </c>
    </row>
    <row r="3" spans="1:5" ht="174" customHeight="1" x14ac:dyDescent="0.3">
      <c r="A3" s="312" t="s">
        <v>56</v>
      </c>
      <c r="B3" s="312"/>
      <c r="C3" s="312"/>
      <c r="E3" s="4" t="s">
        <v>57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14" t="s">
        <v>58</v>
      </c>
      <c r="B5" s="315"/>
      <c r="C5" s="316"/>
      <c r="E5" s="7" t="s">
        <v>59</v>
      </c>
    </row>
    <row r="6" spans="1:5" ht="22.5" x14ac:dyDescent="0.25">
      <c r="A6" s="317" t="s">
        <v>60</v>
      </c>
      <c r="B6" s="317" t="s">
        <v>61</v>
      </c>
      <c r="C6" s="8" t="s">
        <v>62</v>
      </c>
      <c r="E6" s="7" t="s">
        <v>63</v>
      </c>
    </row>
    <row r="7" spans="1:5" ht="15.75" customHeight="1" thickBot="1" x14ac:dyDescent="0.3">
      <c r="A7" s="318"/>
      <c r="B7" s="318"/>
      <c r="C7" s="9" t="s">
        <v>64</v>
      </c>
      <c r="E7" s="7" t="s">
        <v>65</v>
      </c>
    </row>
    <row r="8" spans="1:5" ht="15.75" thickBot="1" x14ac:dyDescent="0.3">
      <c r="A8" s="10" t="s">
        <v>66</v>
      </c>
      <c r="B8" s="8">
        <v>30</v>
      </c>
      <c r="C8" s="8">
        <v>7</v>
      </c>
      <c r="D8">
        <f>(7/30)/12</f>
        <v>1.94444444444444E-2</v>
      </c>
      <c r="E8" s="11" t="s">
        <v>67</v>
      </c>
    </row>
    <row r="9" spans="1:5" ht="13.5" customHeight="1" x14ac:dyDescent="0.25">
      <c r="A9" s="12" t="s">
        <v>68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69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70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71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72</v>
      </c>
      <c r="B13" s="13">
        <v>45</v>
      </c>
      <c r="C13" s="13">
        <v>11</v>
      </c>
      <c r="D13">
        <f t="shared" si="0"/>
        <v>8.3333333333333297E-3</v>
      </c>
      <c r="E13" t="s">
        <v>94</v>
      </c>
    </row>
    <row r="14" spans="1:5" x14ac:dyDescent="0.25">
      <c r="A14" s="12" t="s">
        <v>73</v>
      </c>
      <c r="B14" s="13">
        <v>48</v>
      </c>
      <c r="C14" s="13">
        <v>11</v>
      </c>
      <c r="E14" t="s">
        <v>52</v>
      </c>
    </row>
    <row r="15" spans="1:5" x14ac:dyDescent="0.25">
      <c r="A15" s="12" t="s">
        <v>74</v>
      </c>
      <c r="B15" s="13">
        <v>51</v>
      </c>
      <c r="C15" s="13">
        <v>12</v>
      </c>
    </row>
    <row r="16" spans="1:5" x14ac:dyDescent="0.25">
      <c r="A16" s="12" t="s">
        <v>75</v>
      </c>
      <c r="B16" s="13">
        <v>54</v>
      </c>
      <c r="C16" s="13">
        <v>13</v>
      </c>
    </row>
    <row r="17" spans="1:5" x14ac:dyDescent="0.25">
      <c r="A17" s="12" t="s">
        <v>76</v>
      </c>
      <c r="B17" s="13">
        <v>57</v>
      </c>
      <c r="C17" s="13">
        <v>13</v>
      </c>
    </row>
    <row r="18" spans="1:5" x14ac:dyDescent="0.25">
      <c r="A18" s="12" t="s">
        <v>77</v>
      </c>
      <c r="B18" s="13">
        <v>60</v>
      </c>
      <c r="C18" s="13">
        <v>14</v>
      </c>
    </row>
    <row r="19" spans="1:5" x14ac:dyDescent="0.25">
      <c r="A19" s="12" t="s">
        <v>78</v>
      </c>
      <c r="B19" s="13">
        <v>63</v>
      </c>
      <c r="C19" s="13">
        <v>15</v>
      </c>
    </row>
    <row r="20" spans="1:5" x14ac:dyDescent="0.25">
      <c r="A20" s="12" t="s">
        <v>79</v>
      </c>
      <c r="B20" s="13">
        <v>66</v>
      </c>
      <c r="C20" s="13">
        <v>15</v>
      </c>
    </row>
    <row r="21" spans="1:5" x14ac:dyDescent="0.25">
      <c r="A21" s="12" t="s">
        <v>80</v>
      </c>
      <c r="B21" s="13">
        <v>69</v>
      </c>
      <c r="C21" s="13">
        <v>16</v>
      </c>
    </row>
    <row r="22" spans="1:5" x14ac:dyDescent="0.25">
      <c r="A22" s="12" t="s">
        <v>81</v>
      </c>
      <c r="B22" s="13">
        <v>72</v>
      </c>
      <c r="C22" s="13">
        <v>17</v>
      </c>
    </row>
    <row r="23" spans="1:5" x14ac:dyDescent="0.25">
      <c r="A23" s="12" t="s">
        <v>82</v>
      </c>
      <c r="B23" s="13">
        <v>75</v>
      </c>
      <c r="C23" s="13">
        <v>18</v>
      </c>
    </row>
    <row r="24" spans="1:5" x14ac:dyDescent="0.25">
      <c r="A24" s="12" t="s">
        <v>83</v>
      </c>
      <c r="B24" s="13">
        <v>78</v>
      </c>
      <c r="C24" s="13">
        <v>18</v>
      </c>
    </row>
    <row r="25" spans="1:5" x14ac:dyDescent="0.25">
      <c r="A25" s="12" t="s">
        <v>84</v>
      </c>
      <c r="B25" s="13">
        <v>81</v>
      </c>
      <c r="C25" s="13">
        <v>19</v>
      </c>
    </row>
    <row r="26" spans="1:5" x14ac:dyDescent="0.25">
      <c r="A26" s="12" t="s">
        <v>85</v>
      </c>
      <c r="B26" s="13">
        <v>84</v>
      </c>
      <c r="C26" s="13">
        <v>20</v>
      </c>
    </row>
    <row r="27" spans="1:5" x14ac:dyDescent="0.25">
      <c r="A27" s="12" t="s">
        <v>86</v>
      </c>
      <c r="B27" s="13">
        <v>87</v>
      </c>
      <c r="C27" s="13">
        <v>20</v>
      </c>
    </row>
    <row r="28" spans="1:5" ht="15.75" thickBot="1" x14ac:dyDescent="0.3">
      <c r="A28" s="16" t="s">
        <v>87</v>
      </c>
      <c r="B28" s="9">
        <v>90</v>
      </c>
      <c r="C28" s="9">
        <v>21</v>
      </c>
      <c r="E28" s="17" t="s">
        <v>88</v>
      </c>
    </row>
    <row r="29" spans="1:5" ht="18.75" x14ac:dyDescent="0.3">
      <c r="A29" s="5"/>
    </row>
    <row r="30" spans="1:5" ht="145.5" customHeight="1" x14ac:dyDescent="0.3">
      <c r="A30" s="319" t="s">
        <v>89</v>
      </c>
      <c r="B30" s="319"/>
      <c r="C30" s="319"/>
    </row>
    <row r="31" spans="1:5" ht="18.75" x14ac:dyDescent="0.3">
      <c r="A31" s="5"/>
    </row>
    <row r="32" spans="1:5" ht="18.75" x14ac:dyDescent="0.3">
      <c r="A32" s="18" t="s">
        <v>90</v>
      </c>
    </row>
    <row r="33" spans="1:3" ht="18.75" x14ac:dyDescent="0.3">
      <c r="A33" s="5"/>
    </row>
    <row r="34" spans="1:3" x14ac:dyDescent="0.25">
      <c r="A34" s="312" t="s">
        <v>91</v>
      </c>
      <c r="B34" s="312"/>
      <c r="C34" s="312"/>
    </row>
    <row r="35" spans="1:3" x14ac:dyDescent="0.25">
      <c r="A35" s="312"/>
      <c r="B35" s="312"/>
      <c r="C35" s="312"/>
    </row>
    <row r="36" spans="1:3" x14ac:dyDescent="0.25">
      <c r="A36" s="312" t="s">
        <v>92</v>
      </c>
      <c r="B36" s="312"/>
      <c r="C36" s="312"/>
    </row>
    <row r="37" spans="1:3" x14ac:dyDescent="0.25">
      <c r="A37" s="312"/>
      <c r="B37" s="312"/>
      <c r="C37" s="312"/>
    </row>
    <row r="40" spans="1:3" x14ac:dyDescent="0.25">
      <c r="A40" s="19" t="s">
        <v>93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97" zoomScaleNormal="115" zoomScaleSheetLayoutView="100" workbookViewId="0">
      <selection activeCell="A32" sqref="A32:A37"/>
    </sheetView>
  </sheetViews>
  <sheetFormatPr defaultColWidth="9.140625" defaultRowHeight="15.75" x14ac:dyDescent="0.25"/>
  <cols>
    <col min="1" max="1" width="4.42578125" style="167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85"/>
      <c r="B1" s="386"/>
      <c r="C1" s="386"/>
      <c r="D1" s="386"/>
      <c r="E1" s="387"/>
    </row>
    <row r="2" spans="1:5" s="38" customFormat="1" ht="16.5" customHeight="1" x14ac:dyDescent="0.25">
      <c r="A2" s="358" t="s">
        <v>132</v>
      </c>
      <c r="B2" s="359"/>
      <c r="C2" s="359"/>
      <c r="D2" s="359"/>
      <c r="E2" s="360"/>
    </row>
    <row r="3" spans="1:5" s="38" customFormat="1" x14ac:dyDescent="0.25">
      <c r="A3" s="355" t="s">
        <v>129</v>
      </c>
      <c r="B3" s="356"/>
      <c r="C3" s="356"/>
      <c r="D3" s="356"/>
      <c r="E3" s="357"/>
    </row>
    <row r="4" spans="1:5" s="38" customFormat="1" ht="15" customHeight="1" x14ac:dyDescent="0.25">
      <c r="A4" s="40" t="s">
        <v>0</v>
      </c>
      <c r="B4" s="174" t="s">
        <v>1</v>
      </c>
      <c r="C4" s="392">
        <v>2024</v>
      </c>
      <c r="D4" s="392"/>
      <c r="E4" s="393"/>
    </row>
    <row r="5" spans="1:5" s="38" customFormat="1" ht="90" customHeight="1" x14ac:dyDescent="0.25">
      <c r="A5" s="40" t="s">
        <v>2</v>
      </c>
      <c r="B5" s="174" t="s">
        <v>140</v>
      </c>
      <c r="C5" s="394" t="s">
        <v>268</v>
      </c>
      <c r="D5" s="394"/>
      <c r="E5" s="395"/>
    </row>
    <row r="6" spans="1:5" s="38" customFormat="1" ht="15.75" customHeight="1" x14ac:dyDescent="0.25">
      <c r="A6" s="40" t="s">
        <v>3</v>
      </c>
      <c r="B6" s="174" t="s">
        <v>4</v>
      </c>
      <c r="C6" s="394"/>
      <c r="D6" s="394"/>
      <c r="E6" s="395"/>
    </row>
    <row r="7" spans="1:5" s="38" customFormat="1" x14ac:dyDescent="0.25">
      <c r="A7" s="40" t="s">
        <v>5</v>
      </c>
      <c r="B7" s="174" t="s">
        <v>143</v>
      </c>
      <c r="C7" s="394">
        <v>12</v>
      </c>
      <c r="D7" s="394"/>
      <c r="E7" s="395"/>
    </row>
    <row r="8" spans="1:5" s="38" customFormat="1" x14ac:dyDescent="0.25">
      <c r="A8" s="355" t="s">
        <v>6</v>
      </c>
      <c r="B8" s="356"/>
      <c r="C8" s="356"/>
      <c r="D8" s="356"/>
      <c r="E8" s="357"/>
    </row>
    <row r="9" spans="1:5" s="38" customFormat="1" x14ac:dyDescent="0.25">
      <c r="A9" s="355" t="s">
        <v>7</v>
      </c>
      <c r="B9" s="356"/>
      <c r="C9" s="356"/>
      <c r="D9" s="356"/>
      <c r="E9" s="357"/>
    </row>
    <row r="10" spans="1:5" s="38" customFormat="1" ht="15.75" customHeight="1" x14ac:dyDescent="0.25">
      <c r="A10" s="355" t="s">
        <v>8</v>
      </c>
      <c r="B10" s="356"/>
      <c r="C10" s="356"/>
      <c r="D10" s="356"/>
      <c r="E10" s="357"/>
    </row>
    <row r="11" spans="1:5" s="38" customFormat="1" ht="30" customHeight="1" x14ac:dyDescent="0.25">
      <c r="A11" s="396" t="s">
        <v>9</v>
      </c>
      <c r="B11" s="397"/>
      <c r="C11" s="397"/>
      <c r="D11" s="424" t="s">
        <v>10</v>
      </c>
      <c r="E11" s="425"/>
    </row>
    <row r="12" spans="1:5" s="38" customFormat="1" ht="75" customHeight="1" x14ac:dyDescent="0.25">
      <c r="A12" s="40">
        <v>1</v>
      </c>
      <c r="B12" s="224" t="s">
        <v>133</v>
      </c>
      <c r="C12" s="388" t="s">
        <v>269</v>
      </c>
      <c r="D12" s="388"/>
      <c r="E12" s="389"/>
    </row>
    <row r="13" spans="1:5" s="38" customFormat="1" ht="30" customHeight="1" x14ac:dyDescent="0.25">
      <c r="A13" s="40">
        <v>2</v>
      </c>
      <c r="B13" s="224" t="s">
        <v>11</v>
      </c>
      <c r="C13" s="453">
        <f>(13581.68+(13581.68*10.18%)+(14964.25*8.9%)+(16296.07*6.97%))</f>
        <v>17431.95</v>
      </c>
      <c r="D13" s="453"/>
      <c r="E13" s="454"/>
    </row>
    <row r="14" spans="1:5" s="38" customFormat="1" ht="15.75" customHeight="1" x14ac:dyDescent="0.25">
      <c r="A14" s="40">
        <v>3</v>
      </c>
      <c r="B14" s="224" t="s">
        <v>12</v>
      </c>
      <c r="C14" s="388" t="s">
        <v>270</v>
      </c>
      <c r="D14" s="388"/>
      <c r="E14" s="389"/>
    </row>
    <row r="15" spans="1:5" s="38" customFormat="1" x14ac:dyDescent="0.25">
      <c r="A15" s="40">
        <v>4</v>
      </c>
      <c r="B15" s="223" t="s">
        <v>13</v>
      </c>
      <c r="C15" s="390"/>
      <c r="D15" s="390"/>
      <c r="E15" s="391"/>
    </row>
    <row r="16" spans="1:5" s="39" customFormat="1" ht="31.5" x14ac:dyDescent="0.25">
      <c r="A16" s="353" t="s">
        <v>14</v>
      </c>
      <c r="B16" s="354"/>
      <c r="C16" s="354"/>
      <c r="D16" s="125" t="s">
        <v>264</v>
      </c>
      <c r="E16" s="134" t="s">
        <v>267</v>
      </c>
    </row>
    <row r="17" spans="1:5" s="39" customFormat="1" x14ac:dyDescent="0.25">
      <c r="A17" s="175">
        <v>1</v>
      </c>
      <c r="B17" s="397" t="s">
        <v>15</v>
      </c>
      <c r="C17" s="397"/>
      <c r="D17" s="56" t="s">
        <v>10</v>
      </c>
      <c r="E17" s="57" t="s">
        <v>10</v>
      </c>
    </row>
    <row r="18" spans="1:5" s="38" customFormat="1" ht="15.75" customHeight="1" x14ac:dyDescent="0.25">
      <c r="A18" s="44" t="s">
        <v>0</v>
      </c>
      <c r="B18" s="223" t="s">
        <v>16</v>
      </c>
      <c r="C18" s="211"/>
      <c r="D18" s="74">
        <f>C13</f>
        <v>17431.95</v>
      </c>
      <c r="E18" s="58">
        <f>C13</f>
        <v>17431.95</v>
      </c>
    </row>
    <row r="19" spans="1:5" s="38" customFormat="1" ht="15.75" customHeight="1" x14ac:dyDescent="0.25">
      <c r="A19" s="44" t="s">
        <v>2</v>
      </c>
      <c r="B19" s="223" t="s">
        <v>17</v>
      </c>
      <c r="C19" s="212"/>
      <c r="D19" s="76"/>
      <c r="E19" s="59"/>
    </row>
    <row r="20" spans="1:5" s="38" customFormat="1" ht="15.75" customHeight="1" x14ac:dyDescent="0.25">
      <c r="A20" s="44" t="s">
        <v>3</v>
      </c>
      <c r="B20" s="223" t="s">
        <v>18</v>
      </c>
      <c r="C20" s="108" t="s">
        <v>242</v>
      </c>
      <c r="D20" s="76">
        <f>40%*1412</f>
        <v>564.79999999999995</v>
      </c>
      <c r="E20" s="59">
        <f>40%*1412</f>
        <v>564.79999999999995</v>
      </c>
    </row>
    <row r="21" spans="1:5" s="38" customFormat="1" ht="15.75" customHeight="1" x14ac:dyDescent="0.25">
      <c r="A21" s="44" t="s">
        <v>5</v>
      </c>
      <c r="B21" s="223" t="s">
        <v>19</v>
      </c>
      <c r="C21" s="212"/>
      <c r="D21" s="76"/>
      <c r="E21" s="59"/>
    </row>
    <row r="22" spans="1:5" s="38" customFormat="1" ht="15.75" customHeight="1" x14ac:dyDescent="0.25">
      <c r="A22" s="44" t="s">
        <v>20</v>
      </c>
      <c r="B22" s="223" t="s">
        <v>204</v>
      </c>
      <c r="C22" s="212"/>
      <c r="D22" s="76"/>
      <c r="E22" s="59"/>
    </row>
    <row r="23" spans="1:5" s="38" customFormat="1" x14ac:dyDescent="0.25">
      <c r="A23" s="44" t="s">
        <v>21</v>
      </c>
      <c r="B23" s="223" t="s">
        <v>138</v>
      </c>
      <c r="C23" s="108"/>
      <c r="D23" s="76"/>
      <c r="E23" s="59"/>
    </row>
    <row r="24" spans="1:5" s="38" customFormat="1" ht="15.75" customHeight="1" x14ac:dyDescent="0.25">
      <c r="A24" s="44" t="s">
        <v>22</v>
      </c>
      <c r="B24" s="183" t="s">
        <v>139</v>
      </c>
      <c r="C24" s="108"/>
      <c r="D24" s="76"/>
      <c r="E24" s="59"/>
    </row>
    <row r="25" spans="1:5" s="39" customFormat="1" ht="15.75" customHeight="1" x14ac:dyDescent="0.25">
      <c r="A25" s="349" t="s">
        <v>152</v>
      </c>
      <c r="B25" s="350"/>
      <c r="C25" s="350"/>
      <c r="D25" s="65">
        <f>SUM(D18:D24)</f>
        <v>17996.75</v>
      </c>
      <c r="E25" s="60">
        <f>SUM(E18:E24)</f>
        <v>17996.75</v>
      </c>
    </row>
    <row r="26" spans="1:5" s="39" customFormat="1" x14ac:dyDescent="0.25">
      <c r="A26" s="351" t="s">
        <v>51</v>
      </c>
      <c r="B26" s="352"/>
      <c r="C26" s="352"/>
      <c r="D26" s="177"/>
      <c r="E26" s="220"/>
    </row>
    <row r="27" spans="1:5" s="38" customFormat="1" x14ac:dyDescent="0.25">
      <c r="A27" s="181">
        <v>2</v>
      </c>
      <c r="B27" s="345" t="s">
        <v>205</v>
      </c>
      <c r="C27" s="363"/>
      <c r="D27" s="68" t="s">
        <v>10</v>
      </c>
      <c r="E27" s="129" t="s">
        <v>10</v>
      </c>
    </row>
    <row r="28" spans="1:5" s="38" customFormat="1" x14ac:dyDescent="0.25">
      <c r="A28" s="49" t="s">
        <v>0</v>
      </c>
      <c r="B28" s="182" t="s">
        <v>28</v>
      </c>
      <c r="C28" s="54">
        <f>1/12</f>
        <v>8.3299999999999999E-2</v>
      </c>
      <c r="D28" s="77">
        <f>(D25)*C28</f>
        <v>1499.13</v>
      </c>
      <c r="E28" s="61">
        <f>(E25)*C28</f>
        <v>1499.13</v>
      </c>
    </row>
    <row r="29" spans="1:5" s="38" customFormat="1" x14ac:dyDescent="0.25">
      <c r="A29" s="49" t="s">
        <v>2</v>
      </c>
      <c r="B29" s="182" t="s">
        <v>148</v>
      </c>
      <c r="C29" s="54">
        <v>0.1111</v>
      </c>
      <c r="D29" s="77">
        <f>(D25)*C29</f>
        <v>1999.44</v>
      </c>
      <c r="E29" s="61">
        <f>(E25)*C29</f>
        <v>1999.44</v>
      </c>
    </row>
    <row r="30" spans="1:5" x14ac:dyDescent="0.25">
      <c r="A30" s="369" t="s">
        <v>27</v>
      </c>
      <c r="B30" s="370"/>
      <c r="C30" s="91">
        <f>SUM(C28:C29)</f>
        <v>0.19439999999999999</v>
      </c>
      <c r="D30" s="79">
        <f>SUM(D28:D29)</f>
        <v>3498.57</v>
      </c>
      <c r="E30" s="62">
        <f>SUM(E28:E29)</f>
        <v>3498.57</v>
      </c>
    </row>
    <row r="31" spans="1:5" ht="32.25" customHeight="1" x14ac:dyDescent="0.25">
      <c r="A31" s="430" t="s">
        <v>206</v>
      </c>
      <c r="B31" s="431"/>
      <c r="C31" s="431"/>
      <c r="D31" s="431"/>
      <c r="E31" s="432"/>
    </row>
    <row r="32" spans="1:5" x14ac:dyDescent="0.25">
      <c r="A32" s="179" t="s">
        <v>215</v>
      </c>
      <c r="B32" s="364" t="s">
        <v>25</v>
      </c>
      <c r="C32" s="365"/>
      <c r="D32" s="69" t="s">
        <v>10</v>
      </c>
      <c r="E32" s="127" t="s">
        <v>10</v>
      </c>
    </row>
    <row r="33" spans="1:5" x14ac:dyDescent="0.25">
      <c r="A33" s="49" t="s">
        <v>0</v>
      </c>
      <c r="B33" s="80" t="s">
        <v>207</v>
      </c>
      <c r="C33" s="54">
        <v>0.2</v>
      </c>
      <c r="D33" s="77">
        <f>(D25+D30)*C33</f>
        <v>4299.0600000000004</v>
      </c>
      <c r="E33" s="61">
        <f>(E25+E30)*C33</f>
        <v>4299.0600000000004</v>
      </c>
    </row>
    <row r="34" spans="1:5" x14ac:dyDescent="0.25">
      <c r="A34" s="49" t="s">
        <v>2</v>
      </c>
      <c r="B34" s="80" t="s">
        <v>208</v>
      </c>
      <c r="C34" s="81">
        <v>1.4999999999999999E-2</v>
      </c>
      <c r="D34" s="77">
        <f>(D25+D30)*C34</f>
        <v>322.43</v>
      </c>
      <c r="E34" s="61">
        <f>(E25+E30)*C34</f>
        <v>322.43</v>
      </c>
    </row>
    <row r="35" spans="1:5" x14ac:dyDescent="0.25">
      <c r="A35" s="49" t="s">
        <v>3</v>
      </c>
      <c r="B35" s="80" t="s">
        <v>209</v>
      </c>
      <c r="C35" s="81">
        <v>0.01</v>
      </c>
      <c r="D35" s="77">
        <f>(D25+D30)*C35</f>
        <v>214.95</v>
      </c>
      <c r="E35" s="61">
        <f>(E25+E30)*C35</f>
        <v>214.95</v>
      </c>
    </row>
    <row r="36" spans="1:5" ht="31.5" x14ac:dyDescent="0.25">
      <c r="A36" s="49" t="s">
        <v>5</v>
      </c>
      <c r="B36" s="180" t="s">
        <v>210</v>
      </c>
      <c r="C36" s="81">
        <v>2E-3</v>
      </c>
      <c r="D36" s="77">
        <f>(D25+D30)*C36</f>
        <v>42.99</v>
      </c>
      <c r="E36" s="61">
        <f>(E25+E30)*C36</f>
        <v>42.99</v>
      </c>
    </row>
    <row r="37" spans="1:5" x14ac:dyDescent="0.25">
      <c r="A37" s="49" t="s">
        <v>20</v>
      </c>
      <c r="B37" s="80" t="s">
        <v>211</v>
      </c>
      <c r="C37" s="81">
        <v>2.5000000000000001E-2</v>
      </c>
      <c r="D37" s="77">
        <f>(D25+D30)*C37</f>
        <v>537.38</v>
      </c>
      <c r="E37" s="61">
        <f>(E25+E30)*C37</f>
        <v>537.38</v>
      </c>
    </row>
    <row r="38" spans="1:5" x14ac:dyDescent="0.25">
      <c r="A38" s="49" t="s">
        <v>21</v>
      </c>
      <c r="B38" s="107" t="s">
        <v>212</v>
      </c>
      <c r="C38" s="81">
        <v>0.08</v>
      </c>
      <c r="D38" s="77">
        <f>(D25+D30)*C38</f>
        <v>1719.63</v>
      </c>
      <c r="E38" s="61">
        <f>(E25+E30)*C38</f>
        <v>1719.63</v>
      </c>
    </row>
    <row r="39" spans="1:5" ht="30.75" customHeight="1" x14ac:dyDescent="0.25">
      <c r="A39" s="49" t="s">
        <v>22</v>
      </c>
      <c r="B39" s="180" t="s">
        <v>213</v>
      </c>
      <c r="C39" s="81">
        <v>0.03</v>
      </c>
      <c r="D39" s="77">
        <f>(D25+D30)*C39</f>
        <v>644.86</v>
      </c>
      <c r="E39" s="61">
        <f>(E25+E30)*C39</f>
        <v>644.86</v>
      </c>
    </row>
    <row r="40" spans="1:5" x14ac:dyDescent="0.25">
      <c r="A40" s="49" t="s">
        <v>26</v>
      </c>
      <c r="B40" s="106" t="s">
        <v>214</v>
      </c>
      <c r="C40" s="81">
        <v>6.0000000000000001E-3</v>
      </c>
      <c r="D40" s="77">
        <f>(D25+D30)*C40</f>
        <v>128.97</v>
      </c>
      <c r="E40" s="61">
        <f>(E25+E30)*C40</f>
        <v>128.97</v>
      </c>
    </row>
    <row r="41" spans="1:5" s="30" customFormat="1" x14ac:dyDescent="0.25">
      <c r="A41" s="369" t="s">
        <v>27</v>
      </c>
      <c r="B41" s="370"/>
      <c r="C41" s="55">
        <f>SUM(C33:C40)</f>
        <v>0.36799999999999999</v>
      </c>
      <c r="D41" s="79">
        <f>SUM(D33:D40)</f>
        <v>7910.27</v>
      </c>
      <c r="E41" s="62">
        <f>SUM(E33:E40)</f>
        <v>7910.27</v>
      </c>
    </row>
    <row r="42" spans="1:5" s="30" customFormat="1" x14ac:dyDescent="0.25">
      <c r="A42" s="219" t="s">
        <v>216</v>
      </c>
      <c r="B42" s="379" t="s">
        <v>217</v>
      </c>
      <c r="C42" s="380"/>
      <c r="D42" s="104" t="s">
        <v>10</v>
      </c>
      <c r="E42" s="140" t="s">
        <v>10</v>
      </c>
    </row>
    <row r="43" spans="1:5" s="30" customFormat="1" x14ac:dyDescent="0.25">
      <c r="A43" s="90" t="s">
        <v>0</v>
      </c>
      <c r="B43" s="222" t="s">
        <v>144</v>
      </c>
      <c r="C43" s="105"/>
      <c r="D43" s="76">
        <v>0</v>
      </c>
      <c r="E43" s="59">
        <v>0</v>
      </c>
    </row>
    <row r="44" spans="1:5" s="30" customFormat="1" x14ac:dyDescent="0.25">
      <c r="A44" s="47" t="s">
        <v>2</v>
      </c>
      <c r="B44" s="183" t="s">
        <v>218</v>
      </c>
      <c r="C44" s="72"/>
      <c r="D44" s="76">
        <v>0</v>
      </c>
      <c r="E44" s="59">
        <v>0</v>
      </c>
    </row>
    <row r="45" spans="1:5" s="30" customFormat="1" x14ac:dyDescent="0.25">
      <c r="A45" s="49" t="s">
        <v>5</v>
      </c>
      <c r="B45" s="182" t="s">
        <v>134</v>
      </c>
      <c r="C45" s="83"/>
      <c r="D45" s="76">
        <v>0</v>
      </c>
      <c r="E45" s="59">
        <v>0</v>
      </c>
    </row>
    <row r="46" spans="1:5" s="30" customFormat="1" x14ac:dyDescent="0.25">
      <c r="A46" s="49" t="s">
        <v>20</v>
      </c>
      <c r="B46" s="182" t="s">
        <v>135</v>
      </c>
      <c r="C46" s="54"/>
      <c r="D46" s="76">
        <v>0</v>
      </c>
      <c r="E46" s="59">
        <v>0</v>
      </c>
    </row>
    <row r="47" spans="1:5" s="30" customFormat="1" x14ac:dyDescent="0.25">
      <c r="A47" s="49" t="s">
        <v>21</v>
      </c>
      <c r="B47" s="182" t="s">
        <v>136</v>
      </c>
      <c r="C47" s="83"/>
      <c r="D47" s="76">
        <v>0</v>
      </c>
      <c r="E47" s="59">
        <v>0</v>
      </c>
    </row>
    <row r="48" spans="1:5" s="30" customFormat="1" ht="15.75" customHeight="1" x14ac:dyDescent="0.25">
      <c r="A48" s="369" t="s">
        <v>23</v>
      </c>
      <c r="B48" s="370"/>
      <c r="C48" s="370"/>
      <c r="D48" s="79">
        <f>SUM(D43:D47)</f>
        <v>0</v>
      </c>
      <c r="E48" s="62">
        <f>SUM(E43:E47)</f>
        <v>0</v>
      </c>
    </row>
    <row r="49" spans="1:5" s="30" customFormat="1" ht="15.75" customHeight="1" x14ac:dyDescent="0.25">
      <c r="A49" s="351" t="s">
        <v>151</v>
      </c>
      <c r="B49" s="352"/>
      <c r="C49" s="352"/>
      <c r="D49" s="352"/>
      <c r="E49" s="433"/>
    </row>
    <row r="50" spans="1:5" s="30" customFormat="1" ht="15.75" customHeight="1" x14ac:dyDescent="0.25">
      <c r="A50" s="175" t="s">
        <v>141</v>
      </c>
      <c r="B50" s="96" t="s">
        <v>145</v>
      </c>
      <c r="C50" s="176"/>
      <c r="D50" s="64">
        <f>D30</f>
        <v>3498.57</v>
      </c>
      <c r="E50" s="142">
        <f>E30</f>
        <v>3498.57</v>
      </c>
    </row>
    <row r="51" spans="1:5" s="30" customFormat="1" ht="15.75" customHeight="1" x14ac:dyDescent="0.25">
      <c r="A51" s="175" t="s">
        <v>215</v>
      </c>
      <c r="B51" s="96" t="s">
        <v>146</v>
      </c>
      <c r="C51" s="176"/>
      <c r="D51" s="64">
        <f>D41</f>
        <v>7910.27</v>
      </c>
      <c r="E51" s="142">
        <f>E41</f>
        <v>7910.27</v>
      </c>
    </row>
    <row r="52" spans="1:5" s="30" customFormat="1" ht="15.75" customHeight="1" x14ac:dyDescent="0.25">
      <c r="A52" s="175" t="s">
        <v>216</v>
      </c>
      <c r="B52" s="96" t="s">
        <v>147</v>
      </c>
      <c r="C52" s="176"/>
      <c r="D52" s="64">
        <f>D48</f>
        <v>0</v>
      </c>
      <c r="E52" s="142">
        <f>E48</f>
        <v>0</v>
      </c>
    </row>
    <row r="53" spans="1:5" s="30" customFormat="1" ht="15.75" customHeight="1" x14ac:dyDescent="0.25">
      <c r="A53" s="349" t="s">
        <v>153</v>
      </c>
      <c r="B53" s="350"/>
      <c r="C53" s="350"/>
      <c r="D53" s="65">
        <f>SUM(D50:D52)</f>
        <v>11408.84</v>
      </c>
      <c r="E53" s="60">
        <f>SUM(E50:E52)</f>
        <v>11408.84</v>
      </c>
    </row>
    <row r="54" spans="1:5" s="30" customFormat="1" ht="15.75" customHeight="1" x14ac:dyDescent="0.25">
      <c r="A54" s="351" t="s">
        <v>162</v>
      </c>
      <c r="B54" s="352"/>
      <c r="C54" s="352"/>
      <c r="D54" s="352"/>
      <c r="E54" s="433"/>
    </row>
    <row r="55" spans="1:5" s="30" customFormat="1" ht="15.75" customHeight="1" x14ac:dyDescent="0.25">
      <c r="A55" s="181" t="s">
        <v>200</v>
      </c>
      <c r="B55" s="345" t="s">
        <v>32</v>
      </c>
      <c r="C55" s="346"/>
      <c r="D55" s="68" t="s">
        <v>10</v>
      </c>
      <c r="E55" s="129" t="s">
        <v>10</v>
      </c>
    </row>
    <row r="56" spans="1:5" s="30" customFormat="1" ht="15.75" customHeight="1" x14ac:dyDescent="0.25">
      <c r="A56" s="49" t="s">
        <v>0</v>
      </c>
      <c r="B56" s="182" t="s">
        <v>33</v>
      </c>
      <c r="C56" s="54">
        <v>4.5999999999999999E-3</v>
      </c>
      <c r="D56" s="77">
        <f>D$25*C56</f>
        <v>82.79</v>
      </c>
      <c r="E56" s="61">
        <f>E$25*C56</f>
        <v>82.79</v>
      </c>
    </row>
    <row r="57" spans="1:5" s="30" customFormat="1" ht="15.75" customHeight="1" x14ac:dyDescent="0.25">
      <c r="A57" s="49" t="s">
        <v>2</v>
      </c>
      <c r="B57" s="182" t="s">
        <v>34</v>
      </c>
      <c r="C57" s="54">
        <v>4.0000000000000002E-4</v>
      </c>
      <c r="D57" s="77">
        <f>D$25*C57</f>
        <v>7.2</v>
      </c>
      <c r="E57" s="61">
        <f>E$25*C57</f>
        <v>7.2</v>
      </c>
    </row>
    <row r="58" spans="1:5" s="30" customFormat="1" ht="15.75" customHeight="1" x14ac:dyDescent="0.25">
      <c r="A58" s="49" t="s">
        <v>3</v>
      </c>
      <c r="B58" s="182" t="s">
        <v>35</v>
      </c>
      <c r="C58" s="54">
        <v>1.9400000000000001E-2</v>
      </c>
      <c r="D58" s="77">
        <f>D$25*C58</f>
        <v>349.14</v>
      </c>
      <c r="E58" s="61">
        <f>E$25*C58</f>
        <v>349.14</v>
      </c>
    </row>
    <row r="59" spans="1:5" s="30" customFormat="1" ht="15.75" customHeight="1" x14ac:dyDescent="0.25">
      <c r="A59" s="49" t="s">
        <v>5</v>
      </c>
      <c r="B59" s="180" t="s">
        <v>174</v>
      </c>
      <c r="C59" s="54">
        <v>7.1000000000000004E-3</v>
      </c>
      <c r="D59" s="77">
        <f>D$25*C59</f>
        <v>127.78</v>
      </c>
      <c r="E59" s="61">
        <f>E$25*C59</f>
        <v>127.78</v>
      </c>
    </row>
    <row r="60" spans="1:5" s="30" customFormat="1" ht="32.25" customHeight="1" x14ac:dyDescent="0.25">
      <c r="A60" s="49" t="s">
        <v>20</v>
      </c>
      <c r="B60" s="182" t="s">
        <v>219</v>
      </c>
      <c r="C60" s="54">
        <v>0.04</v>
      </c>
      <c r="D60" s="77">
        <f>D$25*C60</f>
        <v>719.87</v>
      </c>
      <c r="E60" s="61">
        <f>E$25*C60</f>
        <v>719.87</v>
      </c>
    </row>
    <row r="61" spans="1:5" s="30" customFormat="1" x14ac:dyDescent="0.25">
      <c r="A61" s="349" t="s">
        <v>154</v>
      </c>
      <c r="B61" s="350"/>
      <c r="C61" s="350"/>
      <c r="D61" s="65">
        <f>SUM(D56:D60)</f>
        <v>1286.78</v>
      </c>
      <c r="E61" s="60">
        <f>SUM(E56:E60)</f>
        <v>1286.78</v>
      </c>
    </row>
    <row r="62" spans="1:5" s="30" customFormat="1" x14ac:dyDescent="0.25">
      <c r="A62" s="351" t="s">
        <v>163</v>
      </c>
      <c r="B62" s="352"/>
      <c r="C62" s="352"/>
      <c r="D62" s="352"/>
      <c r="E62" s="433"/>
    </row>
    <row r="63" spans="1:5" s="30" customFormat="1" x14ac:dyDescent="0.25">
      <c r="A63" s="181" t="s">
        <v>199</v>
      </c>
      <c r="B63" s="382" t="s">
        <v>36</v>
      </c>
      <c r="C63" s="382"/>
      <c r="D63" s="68" t="s">
        <v>10</v>
      </c>
      <c r="E63" s="129" t="s">
        <v>10</v>
      </c>
    </row>
    <row r="64" spans="1:5" s="30" customFormat="1" x14ac:dyDescent="0.25">
      <c r="A64" s="49" t="s">
        <v>0</v>
      </c>
      <c r="B64" s="182" t="s">
        <v>192</v>
      </c>
      <c r="C64" s="54">
        <f>C29/12</f>
        <v>9.2999999999999992E-3</v>
      </c>
      <c r="D64" s="77">
        <f t="shared" ref="D64:D69" si="0">(D$25+D$53+D$61+D$84)*C64</f>
        <v>286.33</v>
      </c>
      <c r="E64" s="61">
        <f t="shared" ref="E64:E69" si="1">(E$25+E$53+E$61+E$84)*C64</f>
        <v>286.33</v>
      </c>
    </row>
    <row r="65" spans="1:5" s="30" customFormat="1" x14ac:dyDescent="0.25">
      <c r="A65" s="49" t="s">
        <v>2</v>
      </c>
      <c r="B65" s="182" t="s">
        <v>193</v>
      </c>
      <c r="C65" s="54">
        <v>1.66E-2</v>
      </c>
      <c r="D65" s="77">
        <f t="shared" si="0"/>
        <v>511.09</v>
      </c>
      <c r="E65" s="61">
        <f t="shared" si="1"/>
        <v>511.09</v>
      </c>
    </row>
    <row r="66" spans="1:5" s="30" customFormat="1" x14ac:dyDescent="0.25">
      <c r="A66" s="49" t="s">
        <v>3</v>
      </c>
      <c r="B66" s="182" t="s">
        <v>194</v>
      </c>
      <c r="C66" s="54">
        <v>2.0000000000000001E-4</v>
      </c>
      <c r="D66" s="77">
        <f t="shared" si="0"/>
        <v>6.16</v>
      </c>
      <c r="E66" s="61">
        <f t="shared" si="1"/>
        <v>6.16</v>
      </c>
    </row>
    <row r="67" spans="1:5" s="30" customFormat="1" x14ac:dyDescent="0.25">
      <c r="A67" s="49" t="s">
        <v>5</v>
      </c>
      <c r="B67" s="182" t="s">
        <v>195</v>
      </c>
      <c r="C67" s="54">
        <v>2.7000000000000001E-3</v>
      </c>
      <c r="D67" s="77">
        <f t="shared" si="0"/>
        <v>83.13</v>
      </c>
      <c r="E67" s="61">
        <f t="shared" si="1"/>
        <v>83.13</v>
      </c>
    </row>
    <row r="68" spans="1:5" s="30" customFormat="1" x14ac:dyDescent="0.25">
      <c r="A68" s="49" t="s">
        <v>20</v>
      </c>
      <c r="B68" s="182" t="s">
        <v>196</v>
      </c>
      <c r="C68" s="54">
        <v>2.9999999999999997E-4</v>
      </c>
      <c r="D68" s="77">
        <f t="shared" si="0"/>
        <v>9.24</v>
      </c>
      <c r="E68" s="61">
        <f t="shared" si="1"/>
        <v>9.24</v>
      </c>
    </row>
    <row r="69" spans="1:5" s="30" customFormat="1" ht="15.75" customHeight="1" x14ac:dyDescent="0.25">
      <c r="A69" s="49" t="s">
        <v>21</v>
      </c>
      <c r="B69" s="182" t="s">
        <v>197</v>
      </c>
      <c r="C69" s="54">
        <v>0</v>
      </c>
      <c r="D69" s="77">
        <f t="shared" si="0"/>
        <v>0</v>
      </c>
      <c r="E69" s="61">
        <f t="shared" si="1"/>
        <v>0</v>
      </c>
    </row>
    <row r="70" spans="1:5" s="30" customFormat="1" x14ac:dyDescent="0.25">
      <c r="A70" s="369" t="s">
        <v>29</v>
      </c>
      <c r="B70" s="370"/>
      <c r="C70" s="55">
        <f>SUM(C64:C69)</f>
        <v>2.9100000000000001E-2</v>
      </c>
      <c r="D70" s="79">
        <f>SUM(D64:D69)</f>
        <v>895.95</v>
      </c>
      <c r="E70" s="62">
        <f>SUM(E64:E69)</f>
        <v>895.95</v>
      </c>
    </row>
    <row r="71" spans="1:5" s="30" customFormat="1" x14ac:dyDescent="0.25">
      <c r="A71" s="175"/>
      <c r="B71" s="176"/>
      <c r="C71" s="92"/>
      <c r="D71" s="92"/>
      <c r="E71" s="58"/>
    </row>
    <row r="72" spans="1:5" s="30" customFormat="1" x14ac:dyDescent="0.25">
      <c r="A72" s="175"/>
      <c r="B72" s="371" t="s">
        <v>201</v>
      </c>
      <c r="C72" s="381"/>
      <c r="D72" s="68" t="s">
        <v>10</v>
      </c>
      <c r="E72" s="129" t="s">
        <v>10</v>
      </c>
    </row>
    <row r="73" spans="1:5" s="30" customFormat="1" x14ac:dyDescent="0.25">
      <c r="A73" s="47" t="s">
        <v>0</v>
      </c>
      <c r="B73" s="183" t="s">
        <v>202</v>
      </c>
      <c r="C73" s="170">
        <v>0</v>
      </c>
      <c r="D73" s="171">
        <v>0</v>
      </c>
      <c r="E73" s="172">
        <v>0</v>
      </c>
    </row>
    <row r="74" spans="1:5" s="30" customFormat="1" ht="15.75" customHeight="1" x14ac:dyDescent="0.25">
      <c r="A74" s="369" t="s">
        <v>27</v>
      </c>
      <c r="B74" s="370"/>
      <c r="C74" s="93">
        <v>0</v>
      </c>
      <c r="D74" s="79">
        <f>D73</f>
        <v>0</v>
      </c>
      <c r="E74" s="62">
        <f>E73</f>
        <v>0</v>
      </c>
    </row>
    <row r="75" spans="1:5" s="30" customFormat="1" ht="15.75" customHeight="1" x14ac:dyDescent="0.25">
      <c r="A75" s="351" t="s">
        <v>30</v>
      </c>
      <c r="B75" s="352"/>
      <c r="C75" s="352"/>
      <c r="D75" s="352"/>
      <c r="E75" s="433"/>
    </row>
    <row r="76" spans="1:5" s="30" customFormat="1" ht="15.75" customHeight="1" x14ac:dyDescent="0.25">
      <c r="A76" s="383" t="s">
        <v>203</v>
      </c>
      <c r="B76" s="384"/>
      <c r="C76" s="384"/>
      <c r="D76" s="384"/>
      <c r="E76" s="436"/>
    </row>
    <row r="77" spans="1:5" s="30" customFormat="1" ht="15.75" customHeight="1" x14ac:dyDescent="0.25">
      <c r="A77" s="181">
        <v>4</v>
      </c>
      <c r="B77" s="345" t="s">
        <v>220</v>
      </c>
      <c r="C77" s="346"/>
      <c r="D77" s="68" t="s">
        <v>10</v>
      </c>
      <c r="E77" s="129" t="s">
        <v>10</v>
      </c>
    </row>
    <row r="78" spans="1:5" s="30" customFormat="1" ht="15.75" customHeight="1" x14ac:dyDescent="0.25">
      <c r="A78" s="49" t="s">
        <v>199</v>
      </c>
      <c r="B78" s="182" t="s">
        <v>198</v>
      </c>
      <c r="C78" s="54">
        <f>C70</f>
        <v>2.9100000000000001E-2</v>
      </c>
      <c r="D78" s="77">
        <f>D70</f>
        <v>895.95</v>
      </c>
      <c r="E78" s="61">
        <f>E70</f>
        <v>895.95</v>
      </c>
    </row>
    <row r="79" spans="1:5" s="30" customFormat="1" ht="15.75" customHeight="1" x14ac:dyDescent="0.25">
      <c r="A79" s="49" t="s">
        <v>221</v>
      </c>
      <c r="B79" s="182" t="s">
        <v>201</v>
      </c>
      <c r="C79" s="54">
        <v>0</v>
      </c>
      <c r="D79" s="77">
        <f>(D$25+D$53+D$61)*C79</f>
        <v>0</v>
      </c>
      <c r="E79" s="61">
        <f>(E$25+E$53+E$61)*C79</f>
        <v>0</v>
      </c>
    </row>
    <row r="80" spans="1:5" s="30" customFormat="1" ht="15.75" customHeight="1" x14ac:dyDescent="0.25">
      <c r="A80" s="369" t="s">
        <v>27</v>
      </c>
      <c r="B80" s="370"/>
      <c r="C80" s="91">
        <f>SUM(C78:C79)</f>
        <v>2.9100000000000001E-2</v>
      </c>
      <c r="D80" s="79">
        <f>SUM(D78:D79)</f>
        <v>895.95</v>
      </c>
      <c r="E80" s="62">
        <f>SUM(E78:E79)</f>
        <v>895.95</v>
      </c>
    </row>
    <row r="81" spans="1:5" s="30" customFormat="1" ht="15.75" customHeight="1" x14ac:dyDescent="0.25">
      <c r="A81" s="349" t="s">
        <v>155</v>
      </c>
      <c r="B81" s="350"/>
      <c r="C81" s="350"/>
      <c r="D81" s="65">
        <f>SUM(D74+D80)</f>
        <v>895.95</v>
      </c>
      <c r="E81" s="60">
        <f>SUM(E74+E80)</f>
        <v>895.95</v>
      </c>
    </row>
    <row r="82" spans="1:5" s="30" customFormat="1" ht="15.75" customHeight="1" x14ac:dyDescent="0.25">
      <c r="A82" s="347" t="s">
        <v>164</v>
      </c>
      <c r="B82" s="348"/>
      <c r="C82" s="348"/>
      <c r="D82" s="348"/>
      <c r="E82" s="435"/>
    </row>
    <row r="83" spans="1:5" s="30" customFormat="1" ht="15.75" customHeight="1" x14ac:dyDescent="0.25">
      <c r="A83" s="181">
        <v>5</v>
      </c>
      <c r="B83" s="345" t="s">
        <v>24</v>
      </c>
      <c r="C83" s="346"/>
      <c r="D83" s="68" t="s">
        <v>10</v>
      </c>
      <c r="E83" s="129" t="s">
        <v>10</v>
      </c>
    </row>
    <row r="84" spans="1:5" s="30" customFormat="1" ht="15.75" customHeight="1" x14ac:dyDescent="0.25">
      <c r="A84" s="49" t="s">
        <v>0</v>
      </c>
      <c r="B84" s="344" t="s">
        <v>222</v>
      </c>
      <c r="C84" s="344"/>
      <c r="D84" s="77">
        <f>[1]Uniformes!G6</f>
        <v>96</v>
      </c>
      <c r="E84" s="61">
        <f>[1]Uniformes!G6</f>
        <v>96</v>
      </c>
    </row>
    <row r="85" spans="1:5" s="30" customFormat="1" ht="15.75" customHeight="1" x14ac:dyDescent="0.25">
      <c r="A85" s="49" t="s">
        <v>2</v>
      </c>
      <c r="B85" s="344" t="s">
        <v>223</v>
      </c>
      <c r="C85" s="344"/>
      <c r="D85" s="77">
        <f>Materiais!H19</f>
        <v>44.57</v>
      </c>
      <c r="E85" s="61">
        <f>Materiais!H20</f>
        <v>44.57</v>
      </c>
    </row>
    <row r="86" spans="1:5" s="30" customFormat="1" ht="15.75" customHeight="1" x14ac:dyDescent="0.25">
      <c r="A86" s="49" t="s">
        <v>3</v>
      </c>
      <c r="B86" s="344" t="s">
        <v>187</v>
      </c>
      <c r="C86" s="344"/>
      <c r="D86" s="77">
        <f>Equipamentos!H19</f>
        <v>922.4</v>
      </c>
      <c r="E86" s="61">
        <f>Equipamentos!H20</f>
        <v>922.4</v>
      </c>
    </row>
    <row r="87" spans="1:5" s="30" customFormat="1" ht="15.75" customHeight="1" x14ac:dyDescent="0.25">
      <c r="A87" s="49" t="s">
        <v>5</v>
      </c>
      <c r="B87" s="344" t="s">
        <v>137</v>
      </c>
      <c r="C87" s="344"/>
      <c r="D87" s="77">
        <v>0</v>
      </c>
      <c r="E87" s="61">
        <v>0</v>
      </c>
    </row>
    <row r="88" spans="1:5" s="30" customFormat="1" ht="15.75" customHeight="1" x14ac:dyDescent="0.25">
      <c r="A88" s="349" t="s">
        <v>156</v>
      </c>
      <c r="B88" s="350"/>
      <c r="C88" s="350"/>
      <c r="D88" s="65">
        <f>SUM(D84:D87)</f>
        <v>1062.97</v>
      </c>
      <c r="E88" s="60">
        <f>SUM(E84:E87)</f>
        <v>1062.97</v>
      </c>
    </row>
    <row r="89" spans="1:5" s="30" customFormat="1" ht="30" customHeight="1" x14ac:dyDescent="0.25">
      <c r="A89" s="347" t="s">
        <v>37</v>
      </c>
      <c r="B89" s="348"/>
      <c r="C89" s="348"/>
      <c r="D89" s="120">
        <f>D88+D81+D61+D53+D25</f>
        <v>32651.29</v>
      </c>
      <c r="E89" s="148">
        <f>E88+E81+E61+E53+E25</f>
        <v>32651.29</v>
      </c>
    </row>
    <row r="90" spans="1:5" s="30" customFormat="1" ht="19.5" customHeight="1" x14ac:dyDescent="0.25">
      <c r="A90" s="351" t="s">
        <v>165</v>
      </c>
      <c r="B90" s="352"/>
      <c r="C90" s="352"/>
      <c r="D90" s="352"/>
      <c r="E90" s="433"/>
    </row>
    <row r="91" spans="1:5" s="30" customFormat="1" x14ac:dyDescent="0.25">
      <c r="A91" s="181">
        <v>5</v>
      </c>
      <c r="B91" s="345" t="s">
        <v>38</v>
      </c>
      <c r="C91" s="363"/>
      <c r="D91" s="68" t="s">
        <v>10</v>
      </c>
      <c r="E91" s="129" t="s">
        <v>10</v>
      </c>
    </row>
    <row r="92" spans="1:5" s="30" customFormat="1" x14ac:dyDescent="0.25">
      <c r="A92" s="181" t="s">
        <v>0</v>
      </c>
      <c r="B92" s="182" t="s">
        <v>39</v>
      </c>
      <c r="C92" s="54">
        <v>0.03</v>
      </c>
      <c r="D92" s="77">
        <f>D89*C92</f>
        <v>979.54</v>
      </c>
      <c r="E92" s="61">
        <f>E89*C92</f>
        <v>979.54</v>
      </c>
    </row>
    <row r="93" spans="1:5" s="30" customFormat="1" x14ac:dyDescent="0.25">
      <c r="A93" s="181" t="s">
        <v>2</v>
      </c>
      <c r="B93" s="182" t="s">
        <v>40</v>
      </c>
      <c r="C93" s="54">
        <v>6.7900000000000002E-2</v>
      </c>
      <c r="D93" s="77">
        <f>C93*(D89+D92)</f>
        <v>2283.5300000000002</v>
      </c>
      <c r="E93" s="61">
        <f>C93*(E89+E92)</f>
        <v>2283.5300000000002</v>
      </c>
    </row>
    <row r="94" spans="1:5" s="30" customFormat="1" ht="31.5" x14ac:dyDescent="0.25">
      <c r="A94" s="375" t="s">
        <v>3</v>
      </c>
      <c r="B94" s="182" t="s">
        <v>50</v>
      </c>
      <c r="C94" s="54">
        <f>1-C102</f>
        <v>0.85750000000000004</v>
      </c>
      <c r="D94" s="77">
        <f>D89+D92+D93</f>
        <v>35914.36</v>
      </c>
      <c r="E94" s="61">
        <f>E89+E92+E93</f>
        <v>35914.36</v>
      </c>
    </row>
    <row r="95" spans="1:5" s="30" customFormat="1" x14ac:dyDescent="0.25">
      <c r="A95" s="375"/>
      <c r="B95" s="182" t="s">
        <v>41</v>
      </c>
      <c r="C95" s="88"/>
      <c r="D95" s="121">
        <f>+D94/C94</f>
        <v>41882.639999999999</v>
      </c>
      <c r="E95" s="149">
        <f>+E94/C94</f>
        <v>41882.639999999999</v>
      </c>
    </row>
    <row r="96" spans="1:5" s="30" customFormat="1" x14ac:dyDescent="0.25">
      <c r="A96" s="375"/>
      <c r="B96" s="182" t="s">
        <v>42</v>
      </c>
      <c r="C96" s="67"/>
      <c r="D96" s="77"/>
      <c r="E96" s="61"/>
    </row>
    <row r="97" spans="1:5" s="30" customFormat="1" x14ac:dyDescent="0.25">
      <c r="A97" s="375"/>
      <c r="B97" s="182" t="s">
        <v>130</v>
      </c>
      <c r="C97" s="54">
        <v>1.6500000000000001E-2</v>
      </c>
      <c r="D97" s="77">
        <f>+D95*C97</f>
        <v>691.06</v>
      </c>
      <c r="E97" s="61">
        <f>+E95*C97</f>
        <v>691.06</v>
      </c>
    </row>
    <row r="98" spans="1:5" s="30" customFormat="1" x14ac:dyDescent="0.25">
      <c r="A98" s="375"/>
      <c r="B98" s="182" t="s">
        <v>131</v>
      </c>
      <c r="C98" s="54">
        <v>7.5999999999999998E-2</v>
      </c>
      <c r="D98" s="77">
        <f>+D95*C98</f>
        <v>3183.08</v>
      </c>
      <c r="E98" s="61">
        <f>+E95*C98</f>
        <v>3183.08</v>
      </c>
    </row>
    <row r="99" spans="1:5" s="30" customFormat="1" x14ac:dyDescent="0.25">
      <c r="A99" s="375"/>
      <c r="B99" s="221" t="s">
        <v>43</v>
      </c>
      <c r="C99" s="88"/>
      <c r="D99" s="77"/>
      <c r="E99" s="61"/>
    </row>
    <row r="100" spans="1:5" s="30" customFormat="1" x14ac:dyDescent="0.25">
      <c r="A100" s="375"/>
      <c r="B100" s="221" t="s">
        <v>44</v>
      </c>
      <c r="C100" s="94"/>
      <c r="D100" s="77"/>
      <c r="E100" s="61"/>
    </row>
    <row r="101" spans="1:5" s="30" customFormat="1" x14ac:dyDescent="0.25">
      <c r="A101" s="375"/>
      <c r="B101" s="182" t="s">
        <v>142</v>
      </c>
      <c r="C101" s="54">
        <v>0.05</v>
      </c>
      <c r="D101" s="77">
        <f>+D95*C101</f>
        <v>2094.13</v>
      </c>
      <c r="E101" s="61">
        <f>+E95*C101</f>
        <v>2094.13</v>
      </c>
    </row>
    <row r="102" spans="1:5" s="30" customFormat="1" x14ac:dyDescent="0.25">
      <c r="A102" s="181"/>
      <c r="B102" s="107" t="s">
        <v>45</v>
      </c>
      <c r="C102" s="99">
        <f>SUM(C97:C101)</f>
        <v>0.14249999999999999</v>
      </c>
      <c r="D102" s="100">
        <f>SUM(D97:D101)</f>
        <v>5968.27</v>
      </c>
      <c r="E102" s="145">
        <f>SUM(E97:E101)</f>
        <v>5968.27</v>
      </c>
    </row>
    <row r="103" spans="1:5" s="30" customFormat="1" ht="15.75" customHeight="1" x14ac:dyDescent="0.25">
      <c r="A103" s="369" t="s">
        <v>46</v>
      </c>
      <c r="B103" s="370"/>
      <c r="C103" s="370"/>
      <c r="D103" s="79">
        <f>+D92+D93+D102</f>
        <v>9231.34</v>
      </c>
      <c r="E103" s="62">
        <f>+E92+E93+E102</f>
        <v>9231.34</v>
      </c>
    </row>
    <row r="104" spans="1:5" s="30" customFormat="1" ht="15.75" customHeight="1" x14ac:dyDescent="0.25">
      <c r="A104" s="376" t="s">
        <v>47</v>
      </c>
      <c r="B104" s="377"/>
      <c r="C104" s="377"/>
      <c r="D104" s="70" t="s">
        <v>10</v>
      </c>
      <c r="E104" s="146" t="s">
        <v>10</v>
      </c>
    </row>
    <row r="105" spans="1:5" s="30" customFormat="1" x14ac:dyDescent="0.25">
      <c r="A105" s="49" t="s">
        <v>0</v>
      </c>
      <c r="B105" s="378" t="s">
        <v>48</v>
      </c>
      <c r="C105" s="378"/>
      <c r="D105" s="77">
        <f>D25</f>
        <v>17996.75</v>
      </c>
      <c r="E105" s="61">
        <f>E25</f>
        <v>17996.75</v>
      </c>
    </row>
    <row r="106" spans="1:5" s="30" customFormat="1" x14ac:dyDescent="0.25">
      <c r="A106" s="49" t="s">
        <v>2</v>
      </c>
      <c r="B106" s="378" t="s">
        <v>159</v>
      </c>
      <c r="C106" s="378"/>
      <c r="D106" s="77">
        <f>D53</f>
        <v>11408.84</v>
      </c>
      <c r="E106" s="61">
        <f>E53</f>
        <v>11408.84</v>
      </c>
    </row>
    <row r="107" spans="1:5" s="30" customFormat="1" x14ac:dyDescent="0.25">
      <c r="A107" s="49" t="s">
        <v>3</v>
      </c>
      <c r="B107" s="378" t="s">
        <v>157</v>
      </c>
      <c r="C107" s="378"/>
      <c r="D107" s="77">
        <f>D61</f>
        <v>1286.78</v>
      </c>
      <c r="E107" s="61">
        <f>E61</f>
        <v>1286.78</v>
      </c>
    </row>
    <row r="108" spans="1:5" s="30" customFormat="1" x14ac:dyDescent="0.25">
      <c r="A108" s="49" t="s">
        <v>5</v>
      </c>
      <c r="B108" s="378" t="s">
        <v>150</v>
      </c>
      <c r="C108" s="378"/>
      <c r="D108" s="77">
        <f>D81</f>
        <v>895.95</v>
      </c>
      <c r="E108" s="61">
        <f>E81</f>
        <v>895.95</v>
      </c>
    </row>
    <row r="109" spans="1:5" s="30" customFormat="1" x14ac:dyDescent="0.25">
      <c r="A109" s="49" t="s">
        <v>20</v>
      </c>
      <c r="B109" s="378" t="s">
        <v>158</v>
      </c>
      <c r="C109" s="378"/>
      <c r="D109" s="77">
        <f>D88</f>
        <v>1062.97</v>
      </c>
      <c r="E109" s="61">
        <f>E88</f>
        <v>1062.97</v>
      </c>
    </row>
    <row r="110" spans="1:5" s="30" customFormat="1" ht="15.75" customHeight="1" x14ac:dyDescent="0.25">
      <c r="A110" s="375" t="s">
        <v>160</v>
      </c>
      <c r="B110" s="372"/>
      <c r="C110" s="372"/>
      <c r="D110" s="100">
        <f>SUM(D105:D109)</f>
        <v>32651.29</v>
      </c>
      <c r="E110" s="145">
        <f>SUM(E105:E109)</f>
        <v>32651.29</v>
      </c>
    </row>
    <row r="111" spans="1:5" s="30" customFormat="1" x14ac:dyDescent="0.25">
      <c r="A111" s="181" t="s">
        <v>20</v>
      </c>
      <c r="B111" s="378" t="s">
        <v>161</v>
      </c>
      <c r="C111" s="378"/>
      <c r="D111" s="77">
        <f>+D103</f>
        <v>9231.34</v>
      </c>
      <c r="E111" s="61">
        <f>+E103</f>
        <v>9231.34</v>
      </c>
    </row>
    <row r="112" spans="1:5" s="30" customFormat="1" ht="16.5" customHeight="1" thickBot="1" x14ac:dyDescent="0.3">
      <c r="A112" s="361" t="s">
        <v>49</v>
      </c>
      <c r="B112" s="362"/>
      <c r="C112" s="362"/>
      <c r="D112" s="123">
        <f>+D110+D111</f>
        <v>41882.629999999997</v>
      </c>
      <c r="E112" s="151">
        <f>+E110+E111</f>
        <v>41882.629999999997</v>
      </c>
    </row>
    <row r="113" spans="1:5" ht="16.5" thickBot="1" x14ac:dyDescent="0.3">
      <c r="A113" s="441" t="s">
        <v>271</v>
      </c>
      <c r="B113" s="442"/>
      <c r="C113" s="442"/>
      <c r="D113" s="442"/>
      <c r="E113" s="443"/>
    </row>
    <row r="114" spans="1:5" x14ac:dyDescent="0.25">
      <c r="A114" s="444" t="s">
        <v>302</v>
      </c>
      <c r="B114" s="445"/>
      <c r="C114" s="445"/>
      <c r="D114" s="445"/>
      <c r="E114" s="446"/>
    </row>
    <row r="115" spans="1:5" x14ac:dyDescent="0.25">
      <c r="A115" s="447"/>
      <c r="B115" s="448"/>
      <c r="C115" s="448"/>
      <c r="D115" s="448"/>
      <c r="E115" s="449"/>
    </row>
    <row r="116" spans="1:5" x14ac:dyDescent="0.25">
      <c r="A116" s="447"/>
      <c r="B116" s="448"/>
      <c r="C116" s="448"/>
      <c r="D116" s="448"/>
      <c r="E116" s="449"/>
    </row>
    <row r="117" spans="1:5" x14ac:dyDescent="0.25">
      <c r="A117" s="447"/>
      <c r="B117" s="448"/>
      <c r="C117" s="448"/>
      <c r="D117" s="448"/>
      <c r="E117" s="449"/>
    </row>
    <row r="118" spans="1:5" x14ac:dyDescent="0.25">
      <c r="A118" s="447"/>
      <c r="B118" s="448"/>
      <c r="C118" s="448"/>
      <c r="D118" s="448"/>
      <c r="E118" s="449"/>
    </row>
    <row r="119" spans="1:5" x14ac:dyDescent="0.25">
      <c r="A119" s="447"/>
      <c r="B119" s="448"/>
      <c r="C119" s="448"/>
      <c r="D119" s="448"/>
      <c r="E119" s="449"/>
    </row>
    <row r="120" spans="1:5" x14ac:dyDescent="0.25">
      <c r="A120" s="447"/>
      <c r="B120" s="448"/>
      <c r="C120" s="448"/>
      <c r="D120" s="448"/>
      <c r="E120" s="449"/>
    </row>
    <row r="121" spans="1:5" x14ac:dyDescent="0.25">
      <c r="A121" s="447"/>
      <c r="B121" s="448"/>
      <c r="C121" s="448"/>
      <c r="D121" s="448"/>
      <c r="E121" s="449"/>
    </row>
    <row r="122" spans="1:5" ht="16.5" thickBot="1" x14ac:dyDescent="0.3">
      <c r="A122" s="450"/>
      <c r="B122" s="451"/>
      <c r="C122" s="451"/>
      <c r="D122" s="451"/>
      <c r="E122" s="452"/>
    </row>
    <row r="124" spans="1:5" x14ac:dyDescent="0.25">
      <c r="B124" s="28"/>
    </row>
  </sheetData>
  <mergeCells count="65">
    <mergeCell ref="C6:E6"/>
    <mergeCell ref="A1:E1"/>
    <mergeCell ref="A2:E2"/>
    <mergeCell ref="A3:E3"/>
    <mergeCell ref="C4:E4"/>
    <mergeCell ref="C5:E5"/>
    <mergeCell ref="C7:E7"/>
    <mergeCell ref="A8:E8"/>
    <mergeCell ref="A9:E9"/>
    <mergeCell ref="A10:E10"/>
    <mergeCell ref="A11:C11"/>
    <mergeCell ref="D11:E11"/>
    <mergeCell ref="B32:C32"/>
    <mergeCell ref="C12:E12"/>
    <mergeCell ref="C13:E13"/>
    <mergeCell ref="C14:E14"/>
    <mergeCell ref="C15:E15"/>
    <mergeCell ref="A16:C16"/>
    <mergeCell ref="B17:C17"/>
    <mergeCell ref="A25:C25"/>
    <mergeCell ref="A26:C26"/>
    <mergeCell ref="B27:C27"/>
    <mergeCell ref="A30:B30"/>
    <mergeCell ref="A31:E31"/>
    <mergeCell ref="B72:C72"/>
    <mergeCell ref="A41:B41"/>
    <mergeCell ref="B42:C42"/>
    <mergeCell ref="A48:C48"/>
    <mergeCell ref="A49:E49"/>
    <mergeCell ref="A53:C53"/>
    <mergeCell ref="A54:E54"/>
    <mergeCell ref="B55:C55"/>
    <mergeCell ref="A61:C61"/>
    <mergeCell ref="A62:E62"/>
    <mergeCell ref="B63:C63"/>
    <mergeCell ref="A70:B70"/>
    <mergeCell ref="B87:C87"/>
    <mergeCell ref="A74:B74"/>
    <mergeCell ref="A75:E75"/>
    <mergeCell ref="A76:E76"/>
    <mergeCell ref="B77:C77"/>
    <mergeCell ref="A80:B80"/>
    <mergeCell ref="A81:C81"/>
    <mergeCell ref="A82:E82"/>
    <mergeCell ref="B83:C83"/>
    <mergeCell ref="B84:C84"/>
    <mergeCell ref="B85:C85"/>
    <mergeCell ref="B86:C86"/>
    <mergeCell ref="B109:C109"/>
    <mergeCell ref="A88:C88"/>
    <mergeCell ref="A89:C89"/>
    <mergeCell ref="A90:E90"/>
    <mergeCell ref="B91:C91"/>
    <mergeCell ref="A94:A101"/>
    <mergeCell ref="A103:C103"/>
    <mergeCell ref="A104:C104"/>
    <mergeCell ref="B105:C105"/>
    <mergeCell ref="B106:C106"/>
    <mergeCell ref="B107:C107"/>
    <mergeCell ref="B108:C108"/>
    <mergeCell ref="A110:C110"/>
    <mergeCell ref="B111:C111"/>
    <mergeCell ref="A112:C112"/>
    <mergeCell ref="A113:E113"/>
    <mergeCell ref="A114:E122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97" zoomScaleNormal="115" zoomScaleSheetLayoutView="100" workbookViewId="0">
      <selection activeCell="A32" sqref="A32:A37"/>
    </sheetView>
  </sheetViews>
  <sheetFormatPr defaultColWidth="9.140625" defaultRowHeight="15.75" x14ac:dyDescent="0.25"/>
  <cols>
    <col min="1" max="1" width="4.42578125" style="167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85"/>
      <c r="B1" s="386"/>
      <c r="C1" s="386"/>
      <c r="D1" s="386"/>
      <c r="E1" s="387"/>
    </row>
    <row r="2" spans="1:5" s="38" customFormat="1" ht="16.5" customHeight="1" x14ac:dyDescent="0.25">
      <c r="A2" s="358" t="s">
        <v>132</v>
      </c>
      <c r="B2" s="359"/>
      <c r="C2" s="359"/>
      <c r="D2" s="359"/>
      <c r="E2" s="360"/>
    </row>
    <row r="3" spans="1:5" s="38" customFormat="1" x14ac:dyDescent="0.25">
      <c r="A3" s="355" t="s">
        <v>129</v>
      </c>
      <c r="B3" s="356"/>
      <c r="C3" s="356"/>
      <c r="D3" s="356"/>
      <c r="E3" s="357"/>
    </row>
    <row r="4" spans="1:5" s="38" customFormat="1" ht="15" customHeight="1" x14ac:dyDescent="0.25">
      <c r="A4" s="40" t="s">
        <v>0</v>
      </c>
      <c r="B4" s="41" t="s">
        <v>1</v>
      </c>
      <c r="C4" s="392">
        <v>2024</v>
      </c>
      <c r="D4" s="392"/>
      <c r="E4" s="393"/>
    </row>
    <row r="5" spans="1:5" s="38" customFormat="1" ht="90" customHeight="1" x14ac:dyDescent="0.25">
      <c r="A5" s="40" t="s">
        <v>2</v>
      </c>
      <c r="B5" s="41" t="s">
        <v>140</v>
      </c>
      <c r="C5" s="394" t="s">
        <v>268</v>
      </c>
      <c r="D5" s="394"/>
      <c r="E5" s="395"/>
    </row>
    <row r="6" spans="1:5" s="38" customFormat="1" ht="15.75" customHeight="1" x14ac:dyDescent="0.25">
      <c r="A6" s="40" t="s">
        <v>3</v>
      </c>
      <c r="B6" s="41" t="s">
        <v>4</v>
      </c>
      <c r="C6" s="394"/>
      <c r="D6" s="394"/>
      <c r="E6" s="395"/>
    </row>
    <row r="7" spans="1:5" s="38" customFormat="1" x14ac:dyDescent="0.25">
      <c r="A7" s="40" t="s">
        <v>5</v>
      </c>
      <c r="B7" s="41" t="s">
        <v>143</v>
      </c>
      <c r="C7" s="394">
        <v>12</v>
      </c>
      <c r="D7" s="394"/>
      <c r="E7" s="395"/>
    </row>
    <row r="8" spans="1:5" s="38" customFormat="1" x14ac:dyDescent="0.25">
      <c r="A8" s="355" t="s">
        <v>6</v>
      </c>
      <c r="B8" s="356"/>
      <c r="C8" s="356"/>
      <c r="D8" s="356"/>
      <c r="E8" s="357"/>
    </row>
    <row r="9" spans="1:5" s="38" customFormat="1" x14ac:dyDescent="0.25">
      <c r="A9" s="355" t="s">
        <v>7</v>
      </c>
      <c r="B9" s="356"/>
      <c r="C9" s="356"/>
      <c r="D9" s="356"/>
      <c r="E9" s="357"/>
    </row>
    <row r="10" spans="1:5" s="38" customFormat="1" ht="15.75" customHeight="1" x14ac:dyDescent="0.25">
      <c r="A10" s="355" t="s">
        <v>8</v>
      </c>
      <c r="B10" s="356"/>
      <c r="C10" s="356"/>
      <c r="D10" s="356"/>
      <c r="E10" s="357"/>
    </row>
    <row r="11" spans="1:5" s="38" customFormat="1" ht="30" customHeight="1" x14ac:dyDescent="0.25">
      <c r="A11" s="396" t="s">
        <v>9</v>
      </c>
      <c r="B11" s="397"/>
      <c r="C11" s="397"/>
      <c r="D11" s="424" t="s">
        <v>10</v>
      </c>
      <c r="E11" s="425"/>
    </row>
    <row r="12" spans="1:5" s="38" customFormat="1" ht="60" customHeight="1" x14ac:dyDescent="0.25">
      <c r="A12" s="40">
        <v>1</v>
      </c>
      <c r="B12" s="42" t="s">
        <v>133</v>
      </c>
      <c r="C12" s="388" t="s">
        <v>269</v>
      </c>
      <c r="D12" s="388"/>
      <c r="E12" s="389"/>
    </row>
    <row r="13" spans="1:5" s="38" customFormat="1" ht="30" customHeight="1" x14ac:dyDescent="0.25">
      <c r="A13" s="40">
        <v>2</v>
      </c>
      <c r="B13" s="42" t="s">
        <v>11</v>
      </c>
      <c r="C13" s="453">
        <f>(13581.68+(13581.68*10.18%)+(14964.25*8.9%)+(16296.07*6.97%))</f>
        <v>17431.95</v>
      </c>
      <c r="D13" s="453"/>
      <c r="E13" s="454"/>
    </row>
    <row r="14" spans="1:5" s="38" customFormat="1" ht="15.95" customHeight="1" x14ac:dyDescent="0.25">
      <c r="A14" s="40">
        <v>3</v>
      </c>
      <c r="B14" s="42" t="s">
        <v>12</v>
      </c>
      <c r="C14" s="388" t="s">
        <v>257</v>
      </c>
      <c r="D14" s="388"/>
      <c r="E14" s="389"/>
    </row>
    <row r="15" spans="1:5" s="38" customFormat="1" x14ac:dyDescent="0.25">
      <c r="A15" s="40">
        <v>4</v>
      </c>
      <c r="B15" s="43" t="s">
        <v>13</v>
      </c>
      <c r="C15" s="390"/>
      <c r="D15" s="390"/>
      <c r="E15" s="391"/>
    </row>
    <row r="16" spans="1:5" s="39" customFormat="1" ht="31.5" x14ac:dyDescent="0.25">
      <c r="A16" s="353" t="s">
        <v>14</v>
      </c>
      <c r="B16" s="354"/>
      <c r="C16" s="354"/>
      <c r="D16" s="125" t="s">
        <v>264</v>
      </c>
      <c r="E16" s="134" t="s">
        <v>267</v>
      </c>
    </row>
    <row r="17" spans="1:5" s="39" customFormat="1" x14ac:dyDescent="0.25">
      <c r="A17" s="175">
        <v>1</v>
      </c>
      <c r="B17" s="371" t="s">
        <v>15</v>
      </c>
      <c r="C17" s="371"/>
      <c r="D17" s="56" t="s">
        <v>10</v>
      </c>
      <c r="E17" s="57" t="s">
        <v>10</v>
      </c>
    </row>
    <row r="18" spans="1:5" s="38" customFormat="1" ht="15.75" customHeight="1" x14ac:dyDescent="0.25">
      <c r="A18" s="44" t="s">
        <v>0</v>
      </c>
      <c r="B18" s="45" t="s">
        <v>16</v>
      </c>
      <c r="C18" s="43"/>
      <c r="D18" s="74">
        <f>C13</f>
        <v>17431.95</v>
      </c>
      <c r="E18" s="58">
        <f>C13</f>
        <v>17431.95</v>
      </c>
    </row>
    <row r="19" spans="1:5" s="38" customFormat="1" ht="15.75" customHeight="1" x14ac:dyDescent="0.25">
      <c r="A19" s="44" t="s">
        <v>2</v>
      </c>
      <c r="B19" s="45" t="s">
        <v>17</v>
      </c>
      <c r="C19" s="75"/>
      <c r="D19" s="76"/>
      <c r="E19" s="59"/>
    </row>
    <row r="20" spans="1:5" s="38" customFormat="1" ht="15.75" customHeight="1" x14ac:dyDescent="0.25">
      <c r="A20" s="44" t="s">
        <v>3</v>
      </c>
      <c r="B20" s="45" t="s">
        <v>18</v>
      </c>
      <c r="C20" s="108" t="s">
        <v>242</v>
      </c>
      <c r="D20" s="76">
        <f>40%*1412</f>
        <v>564.79999999999995</v>
      </c>
      <c r="E20" s="59">
        <f>40%*1412</f>
        <v>564.79999999999995</v>
      </c>
    </row>
    <row r="21" spans="1:5" s="38" customFormat="1" ht="15.75" customHeight="1" x14ac:dyDescent="0.25">
      <c r="A21" s="44" t="s">
        <v>5</v>
      </c>
      <c r="B21" s="45" t="s">
        <v>19</v>
      </c>
      <c r="C21" s="75"/>
      <c r="D21" s="76">
        <f>((((D18+D20)/220)*20%)*8)*15.21</f>
        <v>1990.77</v>
      </c>
      <c r="E21" s="59">
        <f>((((E18+E20)/220)*20%)*8)*15.21</f>
        <v>1990.77</v>
      </c>
    </row>
    <row r="22" spans="1:5" s="38" customFormat="1" ht="15.75" customHeight="1" x14ac:dyDescent="0.25">
      <c r="A22" s="44" t="s">
        <v>20</v>
      </c>
      <c r="B22" s="45" t="s">
        <v>204</v>
      </c>
      <c r="C22" s="75"/>
      <c r="D22" s="76"/>
      <c r="E22" s="59"/>
    </row>
    <row r="23" spans="1:5" s="38" customFormat="1" x14ac:dyDescent="0.25">
      <c r="A23" s="44" t="s">
        <v>21</v>
      </c>
      <c r="B23" s="45" t="s">
        <v>138</v>
      </c>
      <c r="C23" s="48"/>
      <c r="D23" s="76"/>
      <c r="E23" s="59"/>
    </row>
    <row r="24" spans="1:5" s="38" customFormat="1" ht="15.75" customHeight="1" x14ac:dyDescent="0.25">
      <c r="A24" s="44" t="s">
        <v>22</v>
      </c>
      <c r="B24" s="46" t="s">
        <v>139</v>
      </c>
      <c r="C24" s="48"/>
      <c r="D24" s="76"/>
      <c r="E24" s="59"/>
    </row>
    <row r="25" spans="1:5" s="39" customFormat="1" ht="15.75" customHeight="1" x14ac:dyDescent="0.25">
      <c r="A25" s="349" t="s">
        <v>152</v>
      </c>
      <c r="B25" s="350"/>
      <c r="C25" s="350"/>
      <c r="D25" s="65">
        <f>SUM(D18:D24)</f>
        <v>19987.52</v>
      </c>
      <c r="E25" s="60">
        <f>SUM(E18:E24)</f>
        <v>19987.52</v>
      </c>
    </row>
    <row r="26" spans="1:5" s="39" customFormat="1" x14ac:dyDescent="0.25">
      <c r="A26" s="351" t="s">
        <v>51</v>
      </c>
      <c r="B26" s="352"/>
      <c r="C26" s="352"/>
      <c r="D26" s="177"/>
      <c r="E26" s="119"/>
    </row>
    <row r="27" spans="1:5" s="38" customFormat="1" x14ac:dyDescent="0.25">
      <c r="A27" s="181">
        <v>2</v>
      </c>
      <c r="B27" s="345" t="s">
        <v>205</v>
      </c>
      <c r="C27" s="363"/>
      <c r="D27" s="68" t="s">
        <v>10</v>
      </c>
      <c r="E27" s="129" t="s">
        <v>10</v>
      </c>
    </row>
    <row r="28" spans="1:5" s="38" customFormat="1" x14ac:dyDescent="0.25">
      <c r="A28" s="49" t="s">
        <v>0</v>
      </c>
      <c r="B28" s="50" t="s">
        <v>28</v>
      </c>
      <c r="C28" s="54">
        <f>1/12</f>
        <v>8.3299999999999999E-2</v>
      </c>
      <c r="D28" s="77">
        <f>(D25)*C28</f>
        <v>1664.96</v>
      </c>
      <c r="E28" s="61">
        <f>(E25)*C28</f>
        <v>1664.96</v>
      </c>
    </row>
    <row r="29" spans="1:5" s="38" customFormat="1" x14ac:dyDescent="0.25">
      <c r="A29" s="49" t="s">
        <v>2</v>
      </c>
      <c r="B29" s="50" t="s">
        <v>148</v>
      </c>
      <c r="C29" s="54">
        <v>0.1111</v>
      </c>
      <c r="D29" s="77">
        <f>(D25)*C29</f>
        <v>2220.61</v>
      </c>
      <c r="E29" s="61">
        <f>(E25)*C29</f>
        <v>2220.61</v>
      </c>
    </row>
    <row r="30" spans="1:5" x14ac:dyDescent="0.25">
      <c r="A30" s="369" t="s">
        <v>27</v>
      </c>
      <c r="B30" s="370"/>
      <c r="C30" s="91">
        <f>SUM(C28:C29)</f>
        <v>0.19439999999999999</v>
      </c>
      <c r="D30" s="79">
        <f>SUM(D28:D29)</f>
        <v>3885.57</v>
      </c>
      <c r="E30" s="62">
        <f>SUM(E28:E29)</f>
        <v>3885.57</v>
      </c>
    </row>
    <row r="31" spans="1:5" ht="32.25" customHeight="1" x14ac:dyDescent="0.25">
      <c r="A31" s="430" t="s">
        <v>206</v>
      </c>
      <c r="B31" s="431"/>
      <c r="C31" s="431"/>
      <c r="D31" s="431"/>
      <c r="E31" s="432"/>
    </row>
    <row r="32" spans="1:5" x14ac:dyDescent="0.25">
      <c r="A32" s="179" t="s">
        <v>215</v>
      </c>
      <c r="B32" s="364" t="s">
        <v>25</v>
      </c>
      <c r="C32" s="365"/>
      <c r="D32" s="69" t="s">
        <v>10</v>
      </c>
      <c r="E32" s="127" t="s">
        <v>10</v>
      </c>
    </row>
    <row r="33" spans="1:5" x14ac:dyDescent="0.25">
      <c r="A33" s="49" t="s">
        <v>0</v>
      </c>
      <c r="B33" s="80" t="s">
        <v>207</v>
      </c>
      <c r="C33" s="54">
        <v>0.2</v>
      </c>
      <c r="D33" s="77">
        <f>(D25+D30)*C33</f>
        <v>4774.62</v>
      </c>
      <c r="E33" s="61">
        <f>(E25+E30)*C33</f>
        <v>4774.62</v>
      </c>
    </row>
    <row r="34" spans="1:5" x14ac:dyDescent="0.25">
      <c r="A34" s="49" t="s">
        <v>2</v>
      </c>
      <c r="B34" s="80" t="s">
        <v>208</v>
      </c>
      <c r="C34" s="81">
        <v>1.4999999999999999E-2</v>
      </c>
      <c r="D34" s="77">
        <f>(D25+D30)*C34</f>
        <v>358.1</v>
      </c>
      <c r="E34" s="61">
        <f>(E25+E30)*C34</f>
        <v>358.1</v>
      </c>
    </row>
    <row r="35" spans="1:5" x14ac:dyDescent="0.25">
      <c r="A35" s="49" t="s">
        <v>3</v>
      </c>
      <c r="B35" s="80" t="s">
        <v>209</v>
      </c>
      <c r="C35" s="81">
        <v>0.01</v>
      </c>
      <c r="D35" s="77">
        <f>(D25+D30)*C35</f>
        <v>238.73</v>
      </c>
      <c r="E35" s="61">
        <f>(E25+E30)*C35</f>
        <v>238.73</v>
      </c>
    </row>
    <row r="36" spans="1:5" ht="31.5" x14ac:dyDescent="0.25">
      <c r="A36" s="49" t="s">
        <v>5</v>
      </c>
      <c r="B36" s="180" t="s">
        <v>210</v>
      </c>
      <c r="C36" s="81">
        <v>2E-3</v>
      </c>
      <c r="D36" s="77">
        <f>(D25+D30)*C36</f>
        <v>47.75</v>
      </c>
      <c r="E36" s="61">
        <f>(E25+E30)*C36</f>
        <v>47.75</v>
      </c>
    </row>
    <row r="37" spans="1:5" x14ac:dyDescent="0.25">
      <c r="A37" s="49" t="s">
        <v>20</v>
      </c>
      <c r="B37" s="80" t="s">
        <v>211</v>
      </c>
      <c r="C37" s="81">
        <v>2.5000000000000001E-2</v>
      </c>
      <c r="D37" s="77">
        <f>(D25+D30)*C37</f>
        <v>596.83000000000004</v>
      </c>
      <c r="E37" s="61">
        <f>(E25+E30)*C37</f>
        <v>596.83000000000004</v>
      </c>
    </row>
    <row r="38" spans="1:5" x14ac:dyDescent="0.25">
      <c r="A38" s="49" t="s">
        <v>21</v>
      </c>
      <c r="B38" s="107" t="s">
        <v>212</v>
      </c>
      <c r="C38" s="81">
        <v>0.08</v>
      </c>
      <c r="D38" s="77">
        <f>(D25+D30)*C38</f>
        <v>1909.85</v>
      </c>
      <c r="E38" s="61">
        <f>(E25+E30)*C38</f>
        <v>1909.85</v>
      </c>
    </row>
    <row r="39" spans="1:5" ht="30.75" customHeight="1" x14ac:dyDescent="0.25">
      <c r="A39" s="49" t="s">
        <v>22</v>
      </c>
      <c r="B39" s="180" t="s">
        <v>213</v>
      </c>
      <c r="C39" s="81">
        <v>0.03</v>
      </c>
      <c r="D39" s="77">
        <f>(D25+D30)*C39</f>
        <v>716.19</v>
      </c>
      <c r="E39" s="61">
        <f>(E25+E30)*C39</f>
        <v>716.19</v>
      </c>
    </row>
    <row r="40" spans="1:5" x14ac:dyDescent="0.25">
      <c r="A40" s="49" t="s">
        <v>26</v>
      </c>
      <c r="B40" s="106" t="s">
        <v>214</v>
      </c>
      <c r="C40" s="81">
        <v>6.0000000000000001E-3</v>
      </c>
      <c r="D40" s="77">
        <f>(D25+D30)*C40</f>
        <v>143.24</v>
      </c>
      <c r="E40" s="61">
        <f>(E25+E30)*C40</f>
        <v>143.24</v>
      </c>
    </row>
    <row r="41" spans="1:5" s="30" customFormat="1" x14ac:dyDescent="0.25">
      <c r="A41" s="369" t="s">
        <v>27</v>
      </c>
      <c r="B41" s="370"/>
      <c r="C41" s="55">
        <f>SUM(C33:C40)</f>
        <v>0.36799999999999999</v>
      </c>
      <c r="D41" s="79">
        <f>SUM(D33:D40)</f>
        <v>8785.31</v>
      </c>
      <c r="E41" s="62">
        <f>SUM(E33:E40)</f>
        <v>8785.31</v>
      </c>
    </row>
    <row r="42" spans="1:5" s="30" customFormat="1" x14ac:dyDescent="0.25">
      <c r="A42" s="219" t="s">
        <v>216</v>
      </c>
      <c r="B42" s="379" t="s">
        <v>217</v>
      </c>
      <c r="C42" s="380"/>
      <c r="D42" s="104" t="s">
        <v>10</v>
      </c>
      <c r="E42" s="140" t="s">
        <v>10</v>
      </c>
    </row>
    <row r="43" spans="1:5" s="30" customFormat="1" x14ac:dyDescent="0.25">
      <c r="A43" s="90" t="s">
        <v>0</v>
      </c>
      <c r="B43" s="53" t="s">
        <v>144</v>
      </c>
      <c r="C43" s="105"/>
      <c r="D43" s="76">
        <v>0</v>
      </c>
      <c r="E43" s="76">
        <v>0</v>
      </c>
    </row>
    <row r="44" spans="1:5" s="30" customFormat="1" x14ac:dyDescent="0.25">
      <c r="A44" s="47" t="s">
        <v>2</v>
      </c>
      <c r="B44" s="46" t="s">
        <v>218</v>
      </c>
      <c r="C44" s="72"/>
      <c r="D44" s="76">
        <v>0</v>
      </c>
      <c r="E44" s="76">
        <v>0</v>
      </c>
    </row>
    <row r="45" spans="1:5" s="30" customFormat="1" x14ac:dyDescent="0.25">
      <c r="A45" s="49" t="s">
        <v>5</v>
      </c>
      <c r="B45" s="50" t="s">
        <v>134</v>
      </c>
      <c r="C45" s="83"/>
      <c r="D45" s="76">
        <v>0</v>
      </c>
      <c r="E45" s="76">
        <v>0</v>
      </c>
    </row>
    <row r="46" spans="1:5" s="30" customFormat="1" x14ac:dyDescent="0.25">
      <c r="A46" s="49" t="s">
        <v>20</v>
      </c>
      <c r="B46" s="50" t="s">
        <v>135</v>
      </c>
      <c r="C46" s="54"/>
      <c r="D46" s="76">
        <v>0</v>
      </c>
      <c r="E46" s="76">
        <v>0</v>
      </c>
    </row>
    <row r="47" spans="1:5" s="30" customFormat="1" x14ac:dyDescent="0.25">
      <c r="A47" s="49" t="s">
        <v>21</v>
      </c>
      <c r="B47" s="50" t="s">
        <v>136</v>
      </c>
      <c r="C47" s="83"/>
      <c r="D47" s="76">
        <v>0</v>
      </c>
      <c r="E47" s="76">
        <v>0</v>
      </c>
    </row>
    <row r="48" spans="1:5" s="30" customFormat="1" ht="15.75" customHeight="1" x14ac:dyDescent="0.25">
      <c r="A48" s="369" t="s">
        <v>23</v>
      </c>
      <c r="B48" s="370"/>
      <c r="C48" s="370"/>
      <c r="D48" s="79">
        <f>SUM(D43:D47)</f>
        <v>0</v>
      </c>
      <c r="E48" s="62">
        <f>SUM(E43:E47)</f>
        <v>0</v>
      </c>
    </row>
    <row r="49" spans="1:5" s="30" customFormat="1" ht="15.75" customHeight="1" x14ac:dyDescent="0.25">
      <c r="A49" s="351" t="s">
        <v>151</v>
      </c>
      <c r="B49" s="352"/>
      <c r="C49" s="352"/>
      <c r="D49" s="352"/>
      <c r="E49" s="433"/>
    </row>
    <row r="50" spans="1:5" s="30" customFormat="1" ht="15.75" customHeight="1" x14ac:dyDescent="0.25">
      <c r="A50" s="175" t="s">
        <v>141</v>
      </c>
      <c r="B50" s="96" t="s">
        <v>145</v>
      </c>
      <c r="C50" s="176"/>
      <c r="D50" s="64">
        <f>D30</f>
        <v>3885.57</v>
      </c>
      <c r="E50" s="142">
        <f>E30</f>
        <v>3885.57</v>
      </c>
    </row>
    <row r="51" spans="1:5" s="30" customFormat="1" ht="15.75" customHeight="1" x14ac:dyDescent="0.25">
      <c r="A51" s="175" t="s">
        <v>215</v>
      </c>
      <c r="B51" s="96" t="s">
        <v>146</v>
      </c>
      <c r="C51" s="176"/>
      <c r="D51" s="64">
        <f>D41</f>
        <v>8785.31</v>
      </c>
      <c r="E51" s="142">
        <f>E41</f>
        <v>8785.31</v>
      </c>
    </row>
    <row r="52" spans="1:5" s="30" customFormat="1" ht="15.75" customHeight="1" x14ac:dyDescent="0.25">
      <c r="A52" s="175" t="s">
        <v>216</v>
      </c>
      <c r="B52" s="96" t="s">
        <v>147</v>
      </c>
      <c r="C52" s="176"/>
      <c r="D52" s="64">
        <f>D48</f>
        <v>0</v>
      </c>
      <c r="E52" s="142">
        <f>E48</f>
        <v>0</v>
      </c>
    </row>
    <row r="53" spans="1:5" s="30" customFormat="1" ht="15.75" customHeight="1" x14ac:dyDescent="0.25">
      <c r="A53" s="349" t="s">
        <v>153</v>
      </c>
      <c r="B53" s="350"/>
      <c r="C53" s="350"/>
      <c r="D53" s="65">
        <f>SUM(D50:D52)</f>
        <v>12670.88</v>
      </c>
      <c r="E53" s="60">
        <f>SUM(E50:E52)</f>
        <v>12670.88</v>
      </c>
    </row>
    <row r="54" spans="1:5" s="30" customFormat="1" ht="15.75" customHeight="1" x14ac:dyDescent="0.25">
      <c r="A54" s="351" t="s">
        <v>162</v>
      </c>
      <c r="B54" s="352"/>
      <c r="C54" s="352"/>
      <c r="D54" s="352"/>
      <c r="E54" s="433"/>
    </row>
    <row r="55" spans="1:5" s="30" customFormat="1" ht="15.75" customHeight="1" x14ac:dyDescent="0.25">
      <c r="A55" s="181" t="s">
        <v>200</v>
      </c>
      <c r="B55" s="345" t="s">
        <v>32</v>
      </c>
      <c r="C55" s="346"/>
      <c r="D55" s="68" t="s">
        <v>10</v>
      </c>
      <c r="E55" s="129" t="s">
        <v>10</v>
      </c>
    </row>
    <row r="56" spans="1:5" s="30" customFormat="1" ht="15.75" customHeight="1" x14ac:dyDescent="0.25">
      <c r="A56" s="49" t="s">
        <v>0</v>
      </c>
      <c r="B56" s="50" t="s">
        <v>33</v>
      </c>
      <c r="C56" s="54">
        <v>4.5999999999999999E-3</v>
      </c>
      <c r="D56" s="77">
        <f>D$25*C56</f>
        <v>91.94</v>
      </c>
      <c r="E56" s="61">
        <f>E$25*C56</f>
        <v>91.94</v>
      </c>
    </row>
    <row r="57" spans="1:5" s="30" customFormat="1" ht="15.75" customHeight="1" x14ac:dyDescent="0.25">
      <c r="A57" s="49" t="s">
        <v>2</v>
      </c>
      <c r="B57" s="50" t="s">
        <v>34</v>
      </c>
      <c r="C57" s="54">
        <v>4.0000000000000002E-4</v>
      </c>
      <c r="D57" s="77">
        <f>D$25*C57</f>
        <v>8</v>
      </c>
      <c r="E57" s="61">
        <f>E$25*C57</f>
        <v>8</v>
      </c>
    </row>
    <row r="58" spans="1:5" s="30" customFormat="1" ht="15.75" customHeight="1" x14ac:dyDescent="0.25">
      <c r="A58" s="49" t="s">
        <v>3</v>
      </c>
      <c r="B58" s="50" t="s">
        <v>35</v>
      </c>
      <c r="C58" s="54">
        <v>1.9400000000000001E-2</v>
      </c>
      <c r="D58" s="77">
        <f>D$25*C58</f>
        <v>387.76</v>
      </c>
      <c r="E58" s="61">
        <f>E$25*C58</f>
        <v>387.76</v>
      </c>
    </row>
    <row r="59" spans="1:5" s="30" customFormat="1" ht="15.75" customHeight="1" x14ac:dyDescent="0.25">
      <c r="A59" s="49" t="s">
        <v>5</v>
      </c>
      <c r="B59" s="97" t="s">
        <v>174</v>
      </c>
      <c r="C59" s="54">
        <v>7.1000000000000004E-3</v>
      </c>
      <c r="D59" s="77">
        <f>D$25*C59</f>
        <v>141.91</v>
      </c>
      <c r="E59" s="61">
        <f>E$25*C59</f>
        <v>141.91</v>
      </c>
    </row>
    <row r="60" spans="1:5" s="30" customFormat="1" ht="32.25" customHeight="1" x14ac:dyDescent="0.25">
      <c r="A60" s="49" t="s">
        <v>20</v>
      </c>
      <c r="B60" s="50" t="s">
        <v>219</v>
      </c>
      <c r="C60" s="54">
        <v>0.04</v>
      </c>
      <c r="D60" s="77">
        <f>D$25*C60</f>
        <v>799.5</v>
      </c>
      <c r="E60" s="61">
        <f>E$25*C60</f>
        <v>799.5</v>
      </c>
    </row>
    <row r="61" spans="1:5" s="30" customFormat="1" x14ac:dyDescent="0.25">
      <c r="A61" s="349" t="s">
        <v>154</v>
      </c>
      <c r="B61" s="350"/>
      <c r="C61" s="350"/>
      <c r="D61" s="65">
        <f>SUM(D56:D60)</f>
        <v>1429.11</v>
      </c>
      <c r="E61" s="60">
        <f>SUM(E56:E60)</f>
        <v>1429.11</v>
      </c>
    </row>
    <row r="62" spans="1:5" s="30" customFormat="1" x14ac:dyDescent="0.25">
      <c r="A62" s="351" t="s">
        <v>163</v>
      </c>
      <c r="B62" s="352"/>
      <c r="C62" s="352"/>
      <c r="D62" s="352"/>
      <c r="E62" s="433"/>
    </row>
    <row r="63" spans="1:5" s="30" customFormat="1" x14ac:dyDescent="0.25">
      <c r="A63" s="181" t="s">
        <v>199</v>
      </c>
      <c r="B63" s="426" t="s">
        <v>36</v>
      </c>
      <c r="C63" s="426"/>
      <c r="D63" s="68" t="s">
        <v>10</v>
      </c>
      <c r="E63" s="129" t="s">
        <v>10</v>
      </c>
    </row>
    <row r="64" spans="1:5" s="30" customFormat="1" x14ac:dyDescent="0.25">
      <c r="A64" s="49" t="s">
        <v>0</v>
      </c>
      <c r="B64" s="50" t="s">
        <v>192</v>
      </c>
      <c r="C64" s="54">
        <f>C29/12</f>
        <v>9.2999999999999992E-3</v>
      </c>
      <c r="D64" s="77">
        <f t="shared" ref="D64:D69" si="0">(D$25+D$53+D$61+D$84)*C64</f>
        <v>317.91000000000003</v>
      </c>
      <c r="E64" s="61">
        <f t="shared" ref="E64:E69" si="1">(E$25+E$53+E$61+E$84)*C64</f>
        <v>317.91000000000003</v>
      </c>
    </row>
    <row r="65" spans="1:5" s="30" customFormat="1" x14ac:dyDescent="0.25">
      <c r="A65" s="49" t="s">
        <v>2</v>
      </c>
      <c r="B65" s="50" t="s">
        <v>193</v>
      </c>
      <c r="C65" s="54">
        <v>1.66E-2</v>
      </c>
      <c r="D65" s="77">
        <f t="shared" si="0"/>
        <v>567.45000000000005</v>
      </c>
      <c r="E65" s="61">
        <f t="shared" si="1"/>
        <v>567.45000000000005</v>
      </c>
    </row>
    <row r="66" spans="1:5" s="30" customFormat="1" x14ac:dyDescent="0.25">
      <c r="A66" s="49" t="s">
        <v>3</v>
      </c>
      <c r="B66" s="50" t="s">
        <v>194</v>
      </c>
      <c r="C66" s="54">
        <v>2.0000000000000001E-4</v>
      </c>
      <c r="D66" s="77">
        <f t="shared" si="0"/>
        <v>6.84</v>
      </c>
      <c r="E66" s="61">
        <f t="shared" si="1"/>
        <v>6.84</v>
      </c>
    </row>
    <row r="67" spans="1:5" s="30" customFormat="1" x14ac:dyDescent="0.25">
      <c r="A67" s="49" t="s">
        <v>5</v>
      </c>
      <c r="B67" s="50" t="s">
        <v>195</v>
      </c>
      <c r="C67" s="54">
        <v>2.7000000000000001E-3</v>
      </c>
      <c r="D67" s="77">
        <f t="shared" si="0"/>
        <v>92.3</v>
      </c>
      <c r="E67" s="61">
        <f t="shared" si="1"/>
        <v>92.3</v>
      </c>
    </row>
    <row r="68" spans="1:5" s="30" customFormat="1" x14ac:dyDescent="0.25">
      <c r="A68" s="49" t="s">
        <v>20</v>
      </c>
      <c r="B68" s="50" t="s">
        <v>196</v>
      </c>
      <c r="C68" s="54">
        <v>2.9999999999999997E-4</v>
      </c>
      <c r="D68" s="77">
        <f t="shared" si="0"/>
        <v>10.26</v>
      </c>
      <c r="E68" s="61">
        <f t="shared" si="1"/>
        <v>10.26</v>
      </c>
    </row>
    <row r="69" spans="1:5" s="30" customFormat="1" ht="15.75" customHeight="1" x14ac:dyDescent="0.25">
      <c r="A69" s="49" t="s">
        <v>21</v>
      </c>
      <c r="B69" s="182" t="s">
        <v>197</v>
      </c>
      <c r="C69" s="54">
        <v>0</v>
      </c>
      <c r="D69" s="77">
        <f t="shared" si="0"/>
        <v>0</v>
      </c>
      <c r="E69" s="61">
        <f t="shared" si="1"/>
        <v>0</v>
      </c>
    </row>
    <row r="70" spans="1:5" s="30" customFormat="1" x14ac:dyDescent="0.25">
      <c r="A70" s="369" t="s">
        <v>29</v>
      </c>
      <c r="B70" s="370"/>
      <c r="C70" s="55">
        <f>SUM(C64:C69)</f>
        <v>2.9100000000000001E-2</v>
      </c>
      <c r="D70" s="79">
        <f>SUM(D64:D69)</f>
        <v>994.76</v>
      </c>
      <c r="E70" s="62">
        <f>SUM(E64:E69)</f>
        <v>994.76</v>
      </c>
    </row>
    <row r="71" spans="1:5" s="30" customFormat="1" x14ac:dyDescent="0.25">
      <c r="A71" s="175"/>
      <c r="B71" s="176"/>
      <c r="C71" s="71"/>
      <c r="D71" s="71"/>
      <c r="E71" s="58"/>
    </row>
    <row r="72" spans="1:5" s="30" customFormat="1" x14ac:dyDescent="0.25">
      <c r="A72" s="175"/>
      <c r="B72" s="371" t="s">
        <v>201</v>
      </c>
      <c r="C72" s="381"/>
      <c r="D72" s="68" t="s">
        <v>10</v>
      </c>
      <c r="E72" s="129" t="s">
        <v>10</v>
      </c>
    </row>
    <row r="73" spans="1:5" s="30" customFormat="1" x14ac:dyDescent="0.25">
      <c r="A73" s="47" t="s">
        <v>0</v>
      </c>
      <c r="B73" s="183" t="s">
        <v>202</v>
      </c>
      <c r="C73" s="170">
        <v>0</v>
      </c>
      <c r="D73" s="171">
        <v>0</v>
      </c>
      <c r="E73" s="172">
        <v>0</v>
      </c>
    </row>
    <row r="74" spans="1:5" s="30" customFormat="1" ht="15.75" customHeight="1" x14ac:dyDescent="0.25">
      <c r="A74" s="369" t="s">
        <v>27</v>
      </c>
      <c r="B74" s="370"/>
      <c r="C74" s="93">
        <v>0</v>
      </c>
      <c r="D74" s="79">
        <f>D73</f>
        <v>0</v>
      </c>
      <c r="E74" s="62">
        <f>E73</f>
        <v>0</v>
      </c>
    </row>
    <row r="75" spans="1:5" s="30" customFormat="1" ht="15.75" customHeight="1" x14ac:dyDescent="0.25">
      <c r="A75" s="351" t="s">
        <v>30</v>
      </c>
      <c r="B75" s="352"/>
      <c r="C75" s="352"/>
      <c r="D75" s="352"/>
      <c r="E75" s="433"/>
    </row>
    <row r="76" spans="1:5" s="30" customFormat="1" ht="15.75" customHeight="1" x14ac:dyDescent="0.25">
      <c r="A76" s="383" t="s">
        <v>203</v>
      </c>
      <c r="B76" s="384"/>
      <c r="C76" s="384"/>
      <c r="D76" s="384"/>
      <c r="E76" s="436"/>
    </row>
    <row r="77" spans="1:5" s="30" customFormat="1" ht="15.75" customHeight="1" x14ac:dyDescent="0.25">
      <c r="A77" s="181">
        <v>4</v>
      </c>
      <c r="B77" s="345" t="s">
        <v>220</v>
      </c>
      <c r="C77" s="346"/>
      <c r="D77" s="68" t="s">
        <v>10</v>
      </c>
      <c r="E77" s="129" t="s">
        <v>10</v>
      </c>
    </row>
    <row r="78" spans="1:5" s="30" customFormat="1" ht="15.75" customHeight="1" x14ac:dyDescent="0.25">
      <c r="A78" s="49" t="s">
        <v>199</v>
      </c>
      <c r="B78" s="50" t="s">
        <v>198</v>
      </c>
      <c r="C78" s="54">
        <f>C70</f>
        <v>2.9100000000000001E-2</v>
      </c>
      <c r="D78" s="77">
        <f>D70</f>
        <v>994.76</v>
      </c>
      <c r="E78" s="61">
        <f>E70</f>
        <v>994.76</v>
      </c>
    </row>
    <row r="79" spans="1:5" s="30" customFormat="1" ht="15.75" customHeight="1" x14ac:dyDescent="0.25">
      <c r="A79" s="49" t="s">
        <v>221</v>
      </c>
      <c r="B79" s="50" t="s">
        <v>201</v>
      </c>
      <c r="C79" s="54">
        <v>0</v>
      </c>
      <c r="D79" s="77">
        <f>(D$25+D$53+D$61)*C79</f>
        <v>0</v>
      </c>
      <c r="E79" s="61">
        <f>(E$25+E$53+E$61)*C79</f>
        <v>0</v>
      </c>
    </row>
    <row r="80" spans="1:5" s="30" customFormat="1" ht="15.75" customHeight="1" x14ac:dyDescent="0.25">
      <c r="A80" s="369" t="s">
        <v>27</v>
      </c>
      <c r="B80" s="370"/>
      <c r="C80" s="91">
        <f>SUM(C78:C79)</f>
        <v>2.9100000000000001E-2</v>
      </c>
      <c r="D80" s="79">
        <f>SUM(D78:D79)</f>
        <v>994.76</v>
      </c>
      <c r="E80" s="62">
        <f>SUM(E78:E79)</f>
        <v>994.76</v>
      </c>
    </row>
    <row r="81" spans="1:5" s="30" customFormat="1" ht="15.75" customHeight="1" x14ac:dyDescent="0.25">
      <c r="A81" s="349" t="s">
        <v>155</v>
      </c>
      <c r="B81" s="350"/>
      <c r="C81" s="350"/>
      <c r="D81" s="65">
        <f>SUM(D74+D80)</f>
        <v>994.76</v>
      </c>
      <c r="E81" s="60">
        <f>SUM(E74+E80)</f>
        <v>994.76</v>
      </c>
    </row>
    <row r="82" spans="1:5" s="30" customFormat="1" ht="15.75" customHeight="1" x14ac:dyDescent="0.25">
      <c r="A82" s="347" t="s">
        <v>164</v>
      </c>
      <c r="B82" s="348"/>
      <c r="C82" s="348"/>
      <c r="D82" s="348"/>
      <c r="E82" s="435"/>
    </row>
    <row r="83" spans="1:5" s="30" customFormat="1" ht="15.75" customHeight="1" x14ac:dyDescent="0.25">
      <c r="A83" s="181">
        <v>5</v>
      </c>
      <c r="B83" s="345" t="s">
        <v>24</v>
      </c>
      <c r="C83" s="346"/>
      <c r="D83" s="68" t="s">
        <v>10</v>
      </c>
      <c r="E83" s="129" t="s">
        <v>10</v>
      </c>
    </row>
    <row r="84" spans="1:5" s="30" customFormat="1" ht="15.75" customHeight="1" x14ac:dyDescent="0.25">
      <c r="A84" s="49" t="s">
        <v>0</v>
      </c>
      <c r="B84" s="344" t="s">
        <v>222</v>
      </c>
      <c r="C84" s="344"/>
      <c r="D84" s="77">
        <f>[1]Uniformes!G6</f>
        <v>96</v>
      </c>
      <c r="E84" s="61">
        <f>[1]Uniformes!G6</f>
        <v>96</v>
      </c>
    </row>
    <row r="85" spans="1:5" s="30" customFormat="1" ht="15.75" customHeight="1" x14ac:dyDescent="0.25">
      <c r="A85" s="49" t="s">
        <v>2</v>
      </c>
      <c r="B85" s="344" t="s">
        <v>223</v>
      </c>
      <c r="C85" s="344"/>
      <c r="D85" s="77">
        <f>Materiais!H19</f>
        <v>44.57</v>
      </c>
      <c r="E85" s="61">
        <f>Materiais!H20</f>
        <v>44.57</v>
      </c>
    </row>
    <row r="86" spans="1:5" s="30" customFormat="1" ht="15.75" customHeight="1" x14ac:dyDescent="0.25">
      <c r="A86" s="49" t="s">
        <v>3</v>
      </c>
      <c r="B86" s="344" t="s">
        <v>187</v>
      </c>
      <c r="C86" s="344"/>
      <c r="D86" s="77">
        <f>Equipamentos!H19</f>
        <v>922.4</v>
      </c>
      <c r="E86" s="61">
        <f>Equipamentos!H20</f>
        <v>922.4</v>
      </c>
    </row>
    <row r="87" spans="1:5" s="30" customFormat="1" ht="15.75" customHeight="1" x14ac:dyDescent="0.25">
      <c r="A87" s="49" t="s">
        <v>5</v>
      </c>
      <c r="B87" s="344" t="s">
        <v>137</v>
      </c>
      <c r="C87" s="344"/>
      <c r="D87" s="77">
        <v>0</v>
      </c>
      <c r="E87" s="61">
        <v>0</v>
      </c>
    </row>
    <row r="88" spans="1:5" s="30" customFormat="1" ht="15.75" customHeight="1" x14ac:dyDescent="0.25">
      <c r="A88" s="349" t="s">
        <v>156</v>
      </c>
      <c r="B88" s="350"/>
      <c r="C88" s="350"/>
      <c r="D88" s="65">
        <f>SUM(D84:D87)</f>
        <v>1062.97</v>
      </c>
      <c r="E88" s="60">
        <f>SUM(E84:E87)</f>
        <v>1062.97</v>
      </c>
    </row>
    <row r="89" spans="1:5" s="30" customFormat="1" ht="30" customHeight="1" x14ac:dyDescent="0.25">
      <c r="A89" s="347" t="s">
        <v>37</v>
      </c>
      <c r="B89" s="348"/>
      <c r="C89" s="348"/>
      <c r="D89" s="120">
        <f>D88+D81+D61+D53+D25</f>
        <v>36145.24</v>
      </c>
      <c r="E89" s="148">
        <f>E88+E81+E61+E53+E25</f>
        <v>36145.24</v>
      </c>
    </row>
    <row r="90" spans="1:5" s="30" customFormat="1" ht="19.5" customHeight="1" x14ac:dyDescent="0.25">
      <c r="A90" s="351" t="s">
        <v>165</v>
      </c>
      <c r="B90" s="352"/>
      <c r="C90" s="352"/>
      <c r="D90" s="352"/>
      <c r="E90" s="433"/>
    </row>
    <row r="91" spans="1:5" s="30" customFormat="1" x14ac:dyDescent="0.25">
      <c r="A91" s="181">
        <v>5</v>
      </c>
      <c r="B91" s="345" t="s">
        <v>38</v>
      </c>
      <c r="C91" s="363"/>
      <c r="D91" s="68" t="s">
        <v>10</v>
      </c>
      <c r="E91" s="129" t="s">
        <v>10</v>
      </c>
    </row>
    <row r="92" spans="1:5" s="30" customFormat="1" x14ac:dyDescent="0.25">
      <c r="A92" s="181" t="s">
        <v>0</v>
      </c>
      <c r="B92" s="50" t="s">
        <v>39</v>
      </c>
      <c r="C92" s="54">
        <v>0.03</v>
      </c>
      <c r="D92" s="77">
        <f>D89*C92</f>
        <v>1084.3599999999999</v>
      </c>
      <c r="E92" s="61">
        <f>E89*C92</f>
        <v>1084.3599999999999</v>
      </c>
    </row>
    <row r="93" spans="1:5" s="30" customFormat="1" x14ac:dyDescent="0.25">
      <c r="A93" s="181" t="s">
        <v>2</v>
      </c>
      <c r="B93" s="50" t="s">
        <v>40</v>
      </c>
      <c r="C93" s="54">
        <v>6.7900000000000002E-2</v>
      </c>
      <c r="D93" s="77">
        <f>C93*(D89+D92)</f>
        <v>2527.89</v>
      </c>
      <c r="E93" s="61">
        <f>C93*(E89+E92)</f>
        <v>2527.89</v>
      </c>
    </row>
    <row r="94" spans="1:5" s="30" customFormat="1" ht="31.5" x14ac:dyDescent="0.25">
      <c r="A94" s="375" t="s">
        <v>3</v>
      </c>
      <c r="B94" s="50" t="s">
        <v>50</v>
      </c>
      <c r="C94" s="54">
        <f>1-C102</f>
        <v>0.85750000000000004</v>
      </c>
      <c r="D94" s="77">
        <f>D89+D92+D93</f>
        <v>39757.49</v>
      </c>
      <c r="E94" s="61">
        <f>E89+E92+E93</f>
        <v>39757.49</v>
      </c>
    </row>
    <row r="95" spans="1:5" s="30" customFormat="1" x14ac:dyDescent="0.25">
      <c r="A95" s="375"/>
      <c r="B95" s="182" t="s">
        <v>41</v>
      </c>
      <c r="C95" s="88"/>
      <c r="D95" s="121">
        <f>+D94/C94</f>
        <v>46364.42</v>
      </c>
      <c r="E95" s="149">
        <f>+E94/C94</f>
        <v>46364.42</v>
      </c>
    </row>
    <row r="96" spans="1:5" s="30" customFormat="1" x14ac:dyDescent="0.25">
      <c r="A96" s="375"/>
      <c r="B96" s="182" t="s">
        <v>42</v>
      </c>
      <c r="C96" s="67"/>
      <c r="D96" s="77"/>
      <c r="E96" s="61"/>
    </row>
    <row r="97" spans="1:5" s="30" customFormat="1" x14ac:dyDescent="0.25">
      <c r="A97" s="375"/>
      <c r="B97" s="50" t="s">
        <v>130</v>
      </c>
      <c r="C97" s="54">
        <v>1.6500000000000001E-2</v>
      </c>
      <c r="D97" s="77">
        <f>+D95*C97</f>
        <v>765.01</v>
      </c>
      <c r="E97" s="61">
        <f>+E95*C97</f>
        <v>765.01</v>
      </c>
    </row>
    <row r="98" spans="1:5" s="30" customFormat="1" x14ac:dyDescent="0.25">
      <c r="A98" s="375"/>
      <c r="B98" s="50" t="s">
        <v>131</v>
      </c>
      <c r="C98" s="54">
        <v>7.5999999999999998E-2</v>
      </c>
      <c r="D98" s="77">
        <f>+D95*C98</f>
        <v>3523.7</v>
      </c>
      <c r="E98" s="61">
        <f>+E95*C98</f>
        <v>3523.7</v>
      </c>
    </row>
    <row r="99" spans="1:5" s="30" customFormat="1" x14ac:dyDescent="0.25">
      <c r="A99" s="375"/>
      <c r="B99" s="51" t="s">
        <v>43</v>
      </c>
      <c r="C99" s="88"/>
      <c r="D99" s="77"/>
      <c r="E99" s="61"/>
    </row>
    <row r="100" spans="1:5" s="30" customFormat="1" x14ac:dyDescent="0.25">
      <c r="A100" s="375"/>
      <c r="B100" s="51" t="s">
        <v>44</v>
      </c>
      <c r="C100" s="94"/>
      <c r="D100" s="77"/>
      <c r="E100" s="61"/>
    </row>
    <row r="101" spans="1:5" s="30" customFormat="1" x14ac:dyDescent="0.25">
      <c r="A101" s="375"/>
      <c r="B101" s="50" t="s">
        <v>142</v>
      </c>
      <c r="C101" s="54">
        <v>0.05</v>
      </c>
      <c r="D101" s="77">
        <f>+D95*C101</f>
        <v>2318.2199999999998</v>
      </c>
      <c r="E101" s="61">
        <f>+E95*C101</f>
        <v>2318.2199999999998</v>
      </c>
    </row>
    <row r="102" spans="1:5" s="30" customFormat="1" x14ac:dyDescent="0.25">
      <c r="A102" s="181"/>
      <c r="B102" s="98" t="s">
        <v>45</v>
      </c>
      <c r="C102" s="99">
        <f>SUM(C97:C101)</f>
        <v>0.14249999999999999</v>
      </c>
      <c r="D102" s="100">
        <f>SUM(D97:D101)</f>
        <v>6606.93</v>
      </c>
      <c r="E102" s="145">
        <f>SUM(E97:E101)</f>
        <v>6606.93</v>
      </c>
    </row>
    <row r="103" spans="1:5" s="30" customFormat="1" ht="15.75" customHeight="1" x14ac:dyDescent="0.25">
      <c r="A103" s="369" t="s">
        <v>46</v>
      </c>
      <c r="B103" s="370"/>
      <c r="C103" s="370"/>
      <c r="D103" s="79">
        <f>+D92+D93+D102</f>
        <v>10219.18</v>
      </c>
      <c r="E103" s="62">
        <f>+E92+E93+E102</f>
        <v>10219.18</v>
      </c>
    </row>
    <row r="104" spans="1:5" s="30" customFormat="1" ht="15.75" customHeight="1" x14ac:dyDescent="0.25">
      <c r="A104" s="376" t="s">
        <v>47</v>
      </c>
      <c r="B104" s="377"/>
      <c r="C104" s="377"/>
      <c r="D104" s="70" t="s">
        <v>10</v>
      </c>
      <c r="E104" s="146" t="s">
        <v>10</v>
      </c>
    </row>
    <row r="105" spans="1:5" s="30" customFormat="1" x14ac:dyDescent="0.25">
      <c r="A105" s="49" t="s">
        <v>0</v>
      </c>
      <c r="B105" s="378" t="s">
        <v>48</v>
      </c>
      <c r="C105" s="378"/>
      <c r="D105" s="77">
        <f>D25</f>
        <v>19987.52</v>
      </c>
      <c r="E105" s="61">
        <f>E25</f>
        <v>19987.52</v>
      </c>
    </row>
    <row r="106" spans="1:5" s="30" customFormat="1" x14ac:dyDescent="0.25">
      <c r="A106" s="49" t="s">
        <v>2</v>
      </c>
      <c r="B106" s="378" t="s">
        <v>159</v>
      </c>
      <c r="C106" s="378"/>
      <c r="D106" s="77">
        <f>D53</f>
        <v>12670.88</v>
      </c>
      <c r="E106" s="61">
        <f>E53</f>
        <v>12670.88</v>
      </c>
    </row>
    <row r="107" spans="1:5" s="30" customFormat="1" x14ac:dyDescent="0.25">
      <c r="A107" s="49" t="s">
        <v>3</v>
      </c>
      <c r="B107" s="378" t="s">
        <v>157</v>
      </c>
      <c r="C107" s="378"/>
      <c r="D107" s="77">
        <f>D61</f>
        <v>1429.11</v>
      </c>
      <c r="E107" s="61">
        <f>E61</f>
        <v>1429.11</v>
      </c>
    </row>
    <row r="108" spans="1:5" s="30" customFormat="1" x14ac:dyDescent="0.25">
      <c r="A108" s="49" t="s">
        <v>5</v>
      </c>
      <c r="B108" s="378" t="s">
        <v>150</v>
      </c>
      <c r="C108" s="378"/>
      <c r="D108" s="77">
        <f>D81</f>
        <v>994.76</v>
      </c>
      <c r="E108" s="61">
        <f>E81</f>
        <v>994.76</v>
      </c>
    </row>
    <row r="109" spans="1:5" s="30" customFormat="1" x14ac:dyDescent="0.25">
      <c r="A109" s="49" t="s">
        <v>20</v>
      </c>
      <c r="B109" s="378" t="s">
        <v>158</v>
      </c>
      <c r="C109" s="378"/>
      <c r="D109" s="77">
        <f>D88</f>
        <v>1062.97</v>
      </c>
      <c r="E109" s="61">
        <f>E88</f>
        <v>1062.97</v>
      </c>
    </row>
    <row r="110" spans="1:5" s="30" customFormat="1" ht="15.75" customHeight="1" x14ac:dyDescent="0.25">
      <c r="A110" s="375" t="s">
        <v>160</v>
      </c>
      <c r="B110" s="372"/>
      <c r="C110" s="372"/>
      <c r="D110" s="100">
        <f>SUM(D105:D109)</f>
        <v>36145.24</v>
      </c>
      <c r="E110" s="145">
        <f>SUM(E105:E109)</f>
        <v>36145.24</v>
      </c>
    </row>
    <row r="111" spans="1:5" s="30" customFormat="1" x14ac:dyDescent="0.25">
      <c r="A111" s="181" t="s">
        <v>20</v>
      </c>
      <c r="B111" s="378" t="s">
        <v>161</v>
      </c>
      <c r="C111" s="378"/>
      <c r="D111" s="77">
        <f>+D103</f>
        <v>10219.18</v>
      </c>
      <c r="E111" s="61">
        <f>+E103</f>
        <v>10219.18</v>
      </c>
    </row>
    <row r="112" spans="1:5" s="30" customFormat="1" ht="16.5" customHeight="1" thickBot="1" x14ac:dyDescent="0.3">
      <c r="A112" s="361" t="s">
        <v>49</v>
      </c>
      <c r="B112" s="362"/>
      <c r="C112" s="362"/>
      <c r="D112" s="123">
        <f>+D110+D111</f>
        <v>46364.42</v>
      </c>
      <c r="E112" s="151">
        <f>+E110+E111</f>
        <v>46364.42</v>
      </c>
    </row>
    <row r="113" spans="1:5" ht="16.5" thickBot="1" x14ac:dyDescent="0.3">
      <c r="A113" s="441" t="s">
        <v>271</v>
      </c>
      <c r="B113" s="442"/>
      <c r="C113" s="442"/>
      <c r="D113" s="442"/>
      <c r="E113" s="443"/>
    </row>
    <row r="114" spans="1:5" ht="15.75" customHeight="1" x14ac:dyDescent="0.25">
      <c r="A114" s="444" t="s">
        <v>302</v>
      </c>
      <c r="B114" s="445"/>
      <c r="C114" s="445"/>
      <c r="D114" s="445"/>
      <c r="E114" s="446"/>
    </row>
    <row r="115" spans="1:5" x14ac:dyDescent="0.25">
      <c r="A115" s="447"/>
      <c r="B115" s="448"/>
      <c r="C115" s="448"/>
      <c r="D115" s="448"/>
      <c r="E115" s="449"/>
    </row>
    <row r="116" spans="1:5" x14ac:dyDescent="0.25">
      <c r="A116" s="447"/>
      <c r="B116" s="448"/>
      <c r="C116" s="448"/>
      <c r="D116" s="448"/>
      <c r="E116" s="449"/>
    </row>
    <row r="117" spans="1:5" x14ac:dyDescent="0.25">
      <c r="A117" s="447"/>
      <c r="B117" s="448"/>
      <c r="C117" s="448"/>
      <c r="D117" s="448"/>
      <c r="E117" s="449"/>
    </row>
    <row r="118" spans="1:5" x14ac:dyDescent="0.25">
      <c r="A118" s="447"/>
      <c r="B118" s="448"/>
      <c r="C118" s="448"/>
      <c r="D118" s="448"/>
      <c r="E118" s="449"/>
    </row>
    <row r="119" spans="1:5" x14ac:dyDescent="0.25">
      <c r="A119" s="447"/>
      <c r="B119" s="448"/>
      <c r="C119" s="448"/>
      <c r="D119" s="448"/>
      <c r="E119" s="449"/>
    </row>
    <row r="120" spans="1:5" x14ac:dyDescent="0.25">
      <c r="A120" s="447"/>
      <c r="B120" s="448"/>
      <c r="C120" s="448"/>
      <c r="D120" s="448"/>
      <c r="E120" s="449"/>
    </row>
    <row r="121" spans="1:5" x14ac:dyDescent="0.25">
      <c r="A121" s="447"/>
      <c r="B121" s="448"/>
      <c r="C121" s="448"/>
      <c r="D121" s="448"/>
      <c r="E121" s="449"/>
    </row>
    <row r="122" spans="1:5" ht="16.5" thickBot="1" x14ac:dyDescent="0.3">
      <c r="A122" s="450"/>
      <c r="B122" s="451"/>
      <c r="C122" s="451"/>
      <c r="D122" s="451"/>
      <c r="E122" s="452"/>
    </row>
    <row r="124" spans="1:5" x14ac:dyDescent="0.25">
      <c r="B124" s="28"/>
    </row>
  </sheetData>
  <mergeCells count="65">
    <mergeCell ref="C6:E6"/>
    <mergeCell ref="A1:E1"/>
    <mergeCell ref="A2:E2"/>
    <mergeCell ref="A3:E3"/>
    <mergeCell ref="C4:E4"/>
    <mergeCell ref="C5:E5"/>
    <mergeCell ref="C7:E7"/>
    <mergeCell ref="A8:E8"/>
    <mergeCell ref="A9:E9"/>
    <mergeCell ref="A10:E10"/>
    <mergeCell ref="A11:C11"/>
    <mergeCell ref="D11:E11"/>
    <mergeCell ref="B32:C32"/>
    <mergeCell ref="C12:E12"/>
    <mergeCell ref="C13:E13"/>
    <mergeCell ref="C14:E14"/>
    <mergeCell ref="C15:E15"/>
    <mergeCell ref="A16:C16"/>
    <mergeCell ref="B17:C17"/>
    <mergeCell ref="A25:C25"/>
    <mergeCell ref="A26:C26"/>
    <mergeCell ref="B27:C27"/>
    <mergeCell ref="A30:B30"/>
    <mergeCell ref="A31:E31"/>
    <mergeCell ref="B72:C72"/>
    <mergeCell ref="A41:B41"/>
    <mergeCell ref="B42:C42"/>
    <mergeCell ref="A48:C48"/>
    <mergeCell ref="A49:E49"/>
    <mergeCell ref="A53:C53"/>
    <mergeCell ref="A54:E54"/>
    <mergeCell ref="B55:C55"/>
    <mergeCell ref="A61:C61"/>
    <mergeCell ref="A62:E62"/>
    <mergeCell ref="B63:C63"/>
    <mergeCell ref="A70:B70"/>
    <mergeCell ref="B87:C87"/>
    <mergeCell ref="A74:B74"/>
    <mergeCell ref="A75:E75"/>
    <mergeCell ref="A76:E76"/>
    <mergeCell ref="B77:C77"/>
    <mergeCell ref="A80:B80"/>
    <mergeCell ref="A81:C81"/>
    <mergeCell ref="A82:E82"/>
    <mergeCell ref="B83:C83"/>
    <mergeCell ref="B84:C84"/>
    <mergeCell ref="B85:C85"/>
    <mergeCell ref="B86:C86"/>
    <mergeCell ref="B109:C109"/>
    <mergeCell ref="A88:C88"/>
    <mergeCell ref="A89:C89"/>
    <mergeCell ref="A90:E90"/>
    <mergeCell ref="B91:C91"/>
    <mergeCell ref="A94:A101"/>
    <mergeCell ref="A103:C103"/>
    <mergeCell ref="A104:C104"/>
    <mergeCell ref="B105:C105"/>
    <mergeCell ref="B106:C106"/>
    <mergeCell ref="B107:C107"/>
    <mergeCell ref="B108:C108"/>
    <mergeCell ref="A110:C110"/>
    <mergeCell ref="B111:C111"/>
    <mergeCell ref="A112:C112"/>
    <mergeCell ref="A113:E113"/>
    <mergeCell ref="A114:E122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view="pageBreakPreview" zoomScaleNormal="100" zoomScaleSheetLayoutView="100" workbookViewId="0">
      <selection activeCell="A32" sqref="A32:A37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x14ac:dyDescent="0.25">
      <c r="A1" s="455" t="s">
        <v>230</v>
      </c>
      <c r="B1" s="456"/>
      <c r="C1" s="456"/>
      <c r="D1" s="456"/>
      <c r="E1" s="456"/>
      <c r="F1" s="456"/>
      <c r="G1" s="456"/>
      <c r="H1" s="457"/>
    </row>
    <row r="2" spans="1:8" ht="15" customHeight="1" x14ac:dyDescent="0.25">
      <c r="A2" s="113" t="s">
        <v>166</v>
      </c>
      <c r="B2" s="111" t="s">
        <v>186</v>
      </c>
      <c r="C2" s="111" t="s">
        <v>276</v>
      </c>
      <c r="D2" s="111" t="s">
        <v>168</v>
      </c>
      <c r="E2" s="111" t="s">
        <v>168</v>
      </c>
      <c r="F2" s="111" t="s">
        <v>169</v>
      </c>
      <c r="G2" s="111" t="s">
        <v>226</v>
      </c>
      <c r="H2" s="235" t="s">
        <v>172</v>
      </c>
    </row>
    <row r="3" spans="1:8" ht="15" customHeight="1" x14ac:dyDescent="0.25">
      <c r="A3" s="236">
        <v>1</v>
      </c>
      <c r="B3" s="225" t="s">
        <v>277</v>
      </c>
      <c r="C3" s="225" t="s">
        <v>278</v>
      </c>
      <c r="D3" s="225">
        <v>2</v>
      </c>
      <c r="E3" s="225">
        <f>D3*2</f>
        <v>4</v>
      </c>
      <c r="F3" s="226">
        <v>47.92</v>
      </c>
      <c r="G3" s="227">
        <f>F3*E3</f>
        <v>191.68</v>
      </c>
      <c r="H3" s="237">
        <f>G3/12</f>
        <v>15.97</v>
      </c>
    </row>
    <row r="4" spans="1:8" ht="15" customHeight="1" x14ac:dyDescent="0.25">
      <c r="A4" s="236">
        <f>A3+1</f>
        <v>2</v>
      </c>
      <c r="B4" s="228" t="s">
        <v>279</v>
      </c>
      <c r="C4" s="225" t="s">
        <v>278</v>
      </c>
      <c r="D4" s="229">
        <v>2</v>
      </c>
      <c r="E4" s="225">
        <f t="shared" ref="E4:E6" si="0">D4*2</f>
        <v>4</v>
      </c>
      <c r="F4" s="227">
        <v>36.46</v>
      </c>
      <c r="G4" s="227">
        <f>F4*E4</f>
        <v>145.84</v>
      </c>
      <c r="H4" s="237">
        <f>G4/12</f>
        <v>12.15</v>
      </c>
    </row>
    <row r="5" spans="1:8" ht="15" customHeight="1" x14ac:dyDescent="0.25">
      <c r="A5" s="236">
        <f>A4+1</f>
        <v>3</v>
      </c>
      <c r="B5" s="228" t="s">
        <v>280</v>
      </c>
      <c r="C5" s="225" t="s">
        <v>278</v>
      </c>
      <c r="D5" s="229">
        <v>1</v>
      </c>
      <c r="E5" s="225">
        <f t="shared" si="0"/>
        <v>2</v>
      </c>
      <c r="F5" s="227">
        <v>2.98</v>
      </c>
      <c r="G5" s="227">
        <f>F5*E5</f>
        <v>5.96</v>
      </c>
      <c r="H5" s="237">
        <f>G5/12</f>
        <v>0.5</v>
      </c>
    </row>
    <row r="6" spans="1:8" ht="15" customHeight="1" thickBot="1" x14ac:dyDescent="0.3">
      <c r="A6" s="238">
        <v>4</v>
      </c>
      <c r="B6" s="230" t="s">
        <v>281</v>
      </c>
      <c r="C6" s="231" t="s">
        <v>278</v>
      </c>
      <c r="D6" s="232">
        <v>1</v>
      </c>
      <c r="E6" s="231">
        <f t="shared" si="0"/>
        <v>2</v>
      </c>
      <c r="F6" s="233">
        <v>48</v>
      </c>
      <c r="G6" s="233">
        <f>F6*E6</f>
        <v>96</v>
      </c>
      <c r="H6" s="239">
        <f>G6/12</f>
        <v>8</v>
      </c>
    </row>
    <row r="7" spans="1:8" ht="15" customHeight="1" thickBot="1" x14ac:dyDescent="0.3">
      <c r="A7" s="458" t="s">
        <v>231</v>
      </c>
      <c r="B7" s="459"/>
      <c r="C7" s="459"/>
      <c r="D7" s="459"/>
      <c r="E7" s="459"/>
      <c r="F7" s="460"/>
      <c r="G7" s="460"/>
      <c r="H7" s="118">
        <f>SUM(H3:H6)</f>
        <v>36.619999999999997</v>
      </c>
    </row>
    <row r="8" spans="1:8" ht="15.75" thickBot="1" x14ac:dyDescent="0.3">
      <c r="A8" s="461" t="s">
        <v>249</v>
      </c>
      <c r="B8" s="315"/>
      <c r="C8" s="315"/>
      <c r="D8" s="315"/>
      <c r="E8" s="315"/>
      <c r="F8" s="315"/>
      <c r="G8" s="315"/>
      <c r="H8" s="316"/>
    </row>
    <row r="9" spans="1:8" ht="15" customHeight="1" x14ac:dyDescent="0.25">
      <c r="A9" s="462" t="s">
        <v>285</v>
      </c>
      <c r="B9" s="463"/>
      <c r="C9" s="463"/>
      <c r="D9" s="463"/>
      <c r="E9" s="463"/>
      <c r="F9" s="463"/>
      <c r="G9" s="463"/>
      <c r="H9" s="464"/>
    </row>
    <row r="10" spans="1:8" x14ac:dyDescent="0.25">
      <c r="A10" s="465"/>
      <c r="B10" s="466"/>
      <c r="C10" s="466"/>
      <c r="D10" s="466"/>
      <c r="E10" s="466"/>
      <c r="F10" s="466"/>
      <c r="G10" s="466"/>
      <c r="H10" s="467"/>
    </row>
    <row r="11" spans="1:8" x14ac:dyDescent="0.25">
      <c r="A11" s="465"/>
      <c r="B11" s="466"/>
      <c r="C11" s="466"/>
      <c r="D11" s="466"/>
      <c r="E11" s="466"/>
      <c r="F11" s="466"/>
      <c r="G11" s="466"/>
      <c r="H11" s="467"/>
    </row>
    <row r="12" spans="1:8" x14ac:dyDescent="0.25">
      <c r="A12" s="465"/>
      <c r="B12" s="466"/>
      <c r="C12" s="466"/>
      <c r="D12" s="466"/>
      <c r="E12" s="466"/>
      <c r="F12" s="466"/>
      <c r="G12" s="466"/>
      <c r="H12" s="467"/>
    </row>
    <row r="13" spans="1:8" x14ac:dyDescent="0.25">
      <c r="A13" s="465"/>
      <c r="B13" s="466"/>
      <c r="C13" s="466"/>
      <c r="D13" s="466"/>
      <c r="E13" s="466"/>
      <c r="F13" s="466"/>
      <c r="G13" s="466"/>
      <c r="H13" s="467"/>
    </row>
    <row r="14" spans="1:8" x14ac:dyDescent="0.25">
      <c r="A14" s="465"/>
      <c r="B14" s="466"/>
      <c r="C14" s="466"/>
      <c r="D14" s="466"/>
      <c r="E14" s="466"/>
      <c r="F14" s="466"/>
      <c r="G14" s="466"/>
      <c r="H14" s="467"/>
    </row>
    <row r="15" spans="1:8" x14ac:dyDescent="0.25">
      <c r="A15" s="465"/>
      <c r="B15" s="466"/>
      <c r="C15" s="466"/>
      <c r="D15" s="466"/>
      <c r="E15" s="466"/>
      <c r="F15" s="466"/>
      <c r="G15" s="466"/>
      <c r="H15" s="467"/>
    </row>
    <row r="16" spans="1:8" x14ac:dyDescent="0.25">
      <c r="A16" s="465"/>
      <c r="B16" s="466"/>
      <c r="C16" s="466"/>
      <c r="D16" s="466"/>
      <c r="E16" s="466"/>
      <c r="F16" s="466"/>
      <c r="G16" s="466"/>
      <c r="H16" s="467"/>
    </row>
    <row r="17" spans="1:17" x14ac:dyDescent="0.25">
      <c r="A17" s="465"/>
      <c r="B17" s="466"/>
      <c r="C17" s="466"/>
      <c r="D17" s="466"/>
      <c r="E17" s="466"/>
      <c r="F17" s="466"/>
      <c r="G17" s="466"/>
      <c r="H17" s="467"/>
    </row>
    <row r="18" spans="1:17" x14ac:dyDescent="0.25">
      <c r="A18" s="465"/>
      <c r="B18" s="466"/>
      <c r="C18" s="466"/>
      <c r="D18" s="466"/>
      <c r="E18" s="466"/>
      <c r="F18" s="466"/>
      <c r="G18" s="466"/>
      <c r="H18" s="467"/>
    </row>
    <row r="19" spans="1:17" x14ac:dyDescent="0.25">
      <c r="A19" s="465"/>
      <c r="B19" s="466"/>
      <c r="C19" s="466"/>
      <c r="D19" s="466"/>
      <c r="E19" s="466"/>
      <c r="F19" s="466"/>
      <c r="G19" s="466"/>
      <c r="H19" s="467"/>
    </row>
    <row r="20" spans="1:17" x14ac:dyDescent="0.25">
      <c r="A20" s="465"/>
      <c r="B20" s="466"/>
      <c r="C20" s="466"/>
      <c r="D20" s="466"/>
      <c r="E20" s="466"/>
      <c r="F20" s="466"/>
      <c r="G20" s="466"/>
      <c r="H20" s="467"/>
    </row>
    <row r="21" spans="1:17" x14ac:dyDescent="0.25">
      <c r="A21" s="465"/>
      <c r="B21" s="466"/>
      <c r="C21" s="466"/>
      <c r="D21" s="466"/>
      <c r="E21" s="466"/>
      <c r="F21" s="466"/>
      <c r="G21" s="466"/>
      <c r="H21" s="467"/>
    </row>
    <row r="22" spans="1:17" ht="15.75" thickBot="1" x14ac:dyDescent="0.3">
      <c r="A22" s="468"/>
      <c r="B22" s="469"/>
      <c r="C22" s="469"/>
      <c r="D22" s="469"/>
      <c r="E22" s="469"/>
      <c r="F22" s="469"/>
      <c r="G22" s="469"/>
      <c r="H22" s="470"/>
      <c r="Q22" s="234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BreakPreview" topLeftCell="A18" zoomScaleNormal="100" zoomScaleSheetLayoutView="100" workbookViewId="0">
      <selection activeCell="A32" sqref="A32:A37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486" t="s">
        <v>250</v>
      </c>
      <c r="B1" s="487"/>
      <c r="C1" s="487"/>
      <c r="D1" s="487"/>
      <c r="E1" s="487"/>
      <c r="F1" s="487"/>
      <c r="G1" s="487"/>
      <c r="H1" s="488"/>
    </row>
    <row r="2" spans="1:8" ht="15" customHeight="1" thickBot="1" x14ac:dyDescent="0.3">
      <c r="A2" s="489" t="s">
        <v>251</v>
      </c>
      <c r="B2" s="490"/>
      <c r="C2" s="490"/>
      <c r="D2" s="490"/>
      <c r="E2" s="490"/>
      <c r="F2" s="490"/>
      <c r="G2" s="490"/>
      <c r="H2" s="491"/>
    </row>
    <row r="3" spans="1:8" ht="30" customHeight="1" thickBot="1" x14ac:dyDescent="0.3">
      <c r="A3" s="509" t="s">
        <v>166</v>
      </c>
      <c r="B3" s="510" t="s">
        <v>252</v>
      </c>
      <c r="C3" s="510" t="s">
        <v>167</v>
      </c>
      <c r="D3" s="510" t="s">
        <v>303</v>
      </c>
      <c r="E3" s="510" t="s">
        <v>304</v>
      </c>
      <c r="F3" s="510" t="s">
        <v>169</v>
      </c>
      <c r="G3" s="510" t="s">
        <v>226</v>
      </c>
      <c r="H3" s="511" t="s">
        <v>172</v>
      </c>
    </row>
    <row r="4" spans="1:8" ht="249.95" customHeight="1" thickBot="1" x14ac:dyDescent="0.3">
      <c r="A4" s="165">
        <v>1</v>
      </c>
      <c r="B4" s="244" t="s">
        <v>283</v>
      </c>
      <c r="C4" s="130" t="s">
        <v>167</v>
      </c>
      <c r="D4" s="130">
        <v>1</v>
      </c>
      <c r="E4" s="131">
        <f>D4</f>
        <v>1</v>
      </c>
      <c r="F4" s="132">
        <f>(Equipamentos!F8*1%)</f>
        <v>3600</v>
      </c>
      <c r="G4" s="132">
        <f>F4*E4</f>
        <v>3600</v>
      </c>
      <c r="H4" s="133">
        <f>G4/12</f>
        <v>300</v>
      </c>
    </row>
    <row r="5" spans="1:8" ht="30" customHeight="1" thickBot="1" x14ac:dyDescent="0.3">
      <c r="A5" s="509" t="s">
        <v>166</v>
      </c>
      <c r="B5" s="510" t="s">
        <v>252</v>
      </c>
      <c r="C5" s="510" t="s">
        <v>167</v>
      </c>
      <c r="D5" s="510" t="s">
        <v>303</v>
      </c>
      <c r="E5" s="510" t="s">
        <v>304</v>
      </c>
      <c r="F5" s="510" t="s">
        <v>305</v>
      </c>
      <c r="G5" s="510" t="s">
        <v>226</v>
      </c>
      <c r="H5" s="511" t="s">
        <v>172</v>
      </c>
    </row>
    <row r="6" spans="1:8" ht="30" customHeight="1" x14ac:dyDescent="0.25">
      <c r="A6" s="512">
        <v>2</v>
      </c>
      <c r="B6" s="513" t="s">
        <v>306</v>
      </c>
      <c r="C6" s="305" t="s">
        <v>307</v>
      </c>
      <c r="D6" s="514">
        <v>3.5</v>
      </c>
      <c r="E6" s="514">
        <f>D6*12</f>
        <v>42</v>
      </c>
      <c r="F6" s="307">
        <v>27.66</v>
      </c>
      <c r="G6" s="307">
        <f>F6*E6</f>
        <v>1161.72</v>
      </c>
      <c r="H6" s="308">
        <f>G6/12</f>
        <v>96.81</v>
      </c>
    </row>
    <row r="7" spans="1:8" ht="30" customHeight="1" thickBot="1" x14ac:dyDescent="0.3">
      <c r="A7" s="309">
        <v>3</v>
      </c>
      <c r="B7" s="310" t="s">
        <v>308</v>
      </c>
      <c r="C7" s="160" t="s">
        <v>307</v>
      </c>
      <c r="D7" s="311">
        <v>3.5</v>
      </c>
      <c r="E7" s="311">
        <f>D7*12</f>
        <v>42</v>
      </c>
      <c r="F7" s="163">
        <v>34.79</v>
      </c>
      <c r="G7" s="163">
        <f>F7*E7</f>
        <v>1461.18</v>
      </c>
      <c r="H7" s="164">
        <f>G7/12</f>
        <v>121.77</v>
      </c>
    </row>
    <row r="8" spans="1:8" ht="15" customHeight="1" thickBot="1" x14ac:dyDescent="0.3">
      <c r="A8" s="486"/>
      <c r="B8" s="487"/>
      <c r="C8" s="487"/>
      <c r="D8" s="487"/>
      <c r="E8" s="487"/>
      <c r="F8" s="487"/>
      <c r="G8" s="488"/>
      <c r="H8" s="245">
        <f>SUM(H4:H7)</f>
        <v>518.58000000000004</v>
      </c>
    </row>
    <row r="9" spans="1:8" ht="15" customHeight="1" thickBot="1" x14ac:dyDescent="0.3">
      <c r="A9" s="492"/>
      <c r="B9" s="493"/>
      <c r="C9" s="493"/>
      <c r="D9" s="493"/>
      <c r="E9" s="493"/>
      <c r="F9" s="493"/>
      <c r="G9" s="493"/>
      <c r="H9" s="494"/>
    </row>
    <row r="10" spans="1:8" ht="15" customHeight="1" thickBot="1" x14ac:dyDescent="0.3">
      <c r="A10" s="489" t="s">
        <v>253</v>
      </c>
      <c r="B10" s="490"/>
      <c r="C10" s="490"/>
      <c r="D10" s="490"/>
      <c r="E10" s="490"/>
      <c r="F10" s="490"/>
      <c r="G10" s="490"/>
      <c r="H10" s="491"/>
    </row>
    <row r="11" spans="1:8" ht="30" customHeight="1" thickBot="1" x14ac:dyDescent="0.3">
      <c r="A11" s="509" t="s">
        <v>166</v>
      </c>
      <c r="B11" s="510" t="s">
        <v>252</v>
      </c>
      <c r="C11" s="510" t="s">
        <v>167</v>
      </c>
      <c r="D11" s="510" t="s">
        <v>303</v>
      </c>
      <c r="E11" s="510" t="s">
        <v>304</v>
      </c>
      <c r="F11" s="510" t="s">
        <v>169</v>
      </c>
      <c r="G11" s="510" t="s">
        <v>226</v>
      </c>
      <c r="H11" s="511" t="s">
        <v>172</v>
      </c>
    </row>
    <row r="12" spans="1:8" ht="350.1" customHeight="1" thickBot="1" x14ac:dyDescent="0.3">
      <c r="A12" s="303">
        <v>1</v>
      </c>
      <c r="B12" s="304" t="s">
        <v>282</v>
      </c>
      <c r="C12" s="305" t="s">
        <v>167</v>
      </c>
      <c r="D12" s="305">
        <v>1</v>
      </c>
      <c r="E12" s="306">
        <f>D12</f>
        <v>1</v>
      </c>
      <c r="F12" s="307">
        <f>(Equipamentos!F16*1%)</f>
        <v>3795</v>
      </c>
      <c r="G12" s="307">
        <f>F12*E12</f>
        <v>3795</v>
      </c>
      <c r="H12" s="308">
        <f>G12/12</f>
        <v>316.25</v>
      </c>
    </row>
    <row r="13" spans="1:8" ht="30" customHeight="1" thickBot="1" x14ac:dyDescent="0.3">
      <c r="A13" s="509" t="s">
        <v>166</v>
      </c>
      <c r="B13" s="510" t="s">
        <v>252</v>
      </c>
      <c r="C13" s="510" t="s">
        <v>167</v>
      </c>
      <c r="D13" s="510" t="s">
        <v>303</v>
      </c>
      <c r="E13" s="510" t="s">
        <v>304</v>
      </c>
      <c r="F13" s="510" t="s">
        <v>305</v>
      </c>
      <c r="G13" s="510" t="s">
        <v>226</v>
      </c>
      <c r="H13" s="511" t="s">
        <v>172</v>
      </c>
    </row>
    <row r="14" spans="1:8" ht="30" customHeight="1" x14ac:dyDescent="0.25">
      <c r="A14" s="512">
        <v>2</v>
      </c>
      <c r="B14" s="513" t="s">
        <v>306</v>
      </c>
      <c r="C14" s="305" t="s">
        <v>307</v>
      </c>
      <c r="D14" s="514">
        <v>3.5</v>
      </c>
      <c r="E14" s="514">
        <f>D14*12</f>
        <v>42</v>
      </c>
      <c r="F14" s="307">
        <v>27.66</v>
      </c>
      <c r="G14" s="307">
        <f>F14*E14</f>
        <v>1161.72</v>
      </c>
      <c r="H14" s="308">
        <f>G14/12</f>
        <v>96.81</v>
      </c>
    </row>
    <row r="15" spans="1:8" ht="30" customHeight="1" thickBot="1" x14ac:dyDescent="0.3">
      <c r="A15" s="309">
        <v>3</v>
      </c>
      <c r="B15" s="310" t="s">
        <v>308</v>
      </c>
      <c r="C15" s="160" t="s">
        <v>307</v>
      </c>
      <c r="D15" s="311">
        <v>3.5</v>
      </c>
      <c r="E15" s="311">
        <f>D15*12</f>
        <v>42</v>
      </c>
      <c r="F15" s="163">
        <v>34.79</v>
      </c>
      <c r="G15" s="163">
        <f>F15*E15</f>
        <v>1461.18</v>
      </c>
      <c r="H15" s="164">
        <f>G15/12</f>
        <v>121.77</v>
      </c>
    </row>
    <row r="16" spans="1:8" ht="15" customHeight="1" thickBot="1" x14ac:dyDescent="0.3">
      <c r="A16" s="483"/>
      <c r="B16" s="484"/>
      <c r="C16" s="484"/>
      <c r="D16" s="484"/>
      <c r="E16" s="484"/>
      <c r="F16" s="484"/>
      <c r="G16" s="485"/>
      <c r="H16" s="302">
        <f>SUM(H12:H15)</f>
        <v>534.83000000000004</v>
      </c>
    </row>
    <row r="17" spans="1:8" ht="15.75" thickBot="1" x14ac:dyDescent="0.3">
      <c r="A17" s="495"/>
      <c r="B17" s="496"/>
      <c r="C17" s="496"/>
      <c r="D17" s="496"/>
      <c r="E17" s="496"/>
      <c r="F17" s="496"/>
      <c r="G17" s="496"/>
      <c r="H17" s="497"/>
    </row>
    <row r="18" spans="1:8" ht="15.75" thickBot="1" x14ac:dyDescent="0.3">
      <c r="A18" s="498" t="s">
        <v>241</v>
      </c>
      <c r="B18" s="499"/>
      <c r="C18" s="499"/>
      <c r="D18" s="499"/>
      <c r="E18" s="499"/>
      <c r="F18" s="499"/>
      <c r="G18" s="500"/>
      <c r="H18" s="109">
        <f>H8/8</f>
        <v>64.819999999999993</v>
      </c>
    </row>
    <row r="19" spans="1:8" ht="15.75" thickBot="1" x14ac:dyDescent="0.3">
      <c r="A19" s="498" t="s">
        <v>239</v>
      </c>
      <c r="B19" s="499"/>
      <c r="C19" s="499"/>
      <c r="D19" s="499"/>
      <c r="E19" s="499"/>
      <c r="F19" s="499"/>
      <c r="G19" s="500"/>
      <c r="H19" s="109">
        <f>H16/12</f>
        <v>44.57</v>
      </c>
    </row>
    <row r="20" spans="1:8" ht="15.75" thickBot="1" x14ac:dyDescent="0.3">
      <c r="A20" s="498" t="s">
        <v>275</v>
      </c>
      <c r="B20" s="499"/>
      <c r="C20" s="499"/>
      <c r="D20" s="499"/>
      <c r="E20" s="499"/>
      <c r="F20" s="499"/>
      <c r="G20" s="500"/>
      <c r="H20" s="109">
        <f>H16/12</f>
        <v>44.57</v>
      </c>
    </row>
    <row r="21" spans="1:8" ht="15.75" thickBot="1" x14ac:dyDescent="0.3">
      <c r="A21" s="498" t="s">
        <v>240</v>
      </c>
      <c r="B21" s="499"/>
      <c r="C21" s="499"/>
      <c r="D21" s="499"/>
      <c r="E21" s="499"/>
      <c r="F21" s="499"/>
      <c r="G21" s="500"/>
      <c r="H21" s="109">
        <f>H8/4</f>
        <v>129.65</v>
      </c>
    </row>
    <row r="22" spans="1:8" ht="15.75" thickBot="1" x14ac:dyDescent="0.3">
      <c r="A22" s="498" t="s">
        <v>238</v>
      </c>
      <c r="B22" s="499"/>
      <c r="C22" s="499"/>
      <c r="D22" s="499"/>
      <c r="E22" s="499"/>
      <c r="F22" s="499"/>
      <c r="G22" s="500"/>
      <c r="H22" s="109">
        <f>H8/4</f>
        <v>129.65</v>
      </c>
    </row>
    <row r="23" spans="1:8" ht="15.75" thickBot="1" x14ac:dyDescent="0.3">
      <c r="A23" s="480" t="s">
        <v>249</v>
      </c>
      <c r="B23" s="481"/>
      <c r="C23" s="481"/>
      <c r="D23" s="481"/>
      <c r="E23" s="481"/>
      <c r="F23" s="481"/>
      <c r="G23" s="481"/>
      <c r="H23" s="482"/>
    </row>
    <row r="24" spans="1:8" ht="15" customHeight="1" x14ac:dyDescent="0.25">
      <c r="A24" s="471" t="s">
        <v>298</v>
      </c>
      <c r="B24" s="472"/>
      <c r="C24" s="472"/>
      <c r="D24" s="472"/>
      <c r="E24" s="472"/>
      <c r="F24" s="472"/>
      <c r="G24" s="472"/>
      <c r="H24" s="473"/>
    </row>
    <row r="25" spans="1:8" x14ac:dyDescent="0.25">
      <c r="A25" s="474"/>
      <c r="B25" s="475"/>
      <c r="C25" s="475"/>
      <c r="D25" s="475"/>
      <c r="E25" s="475"/>
      <c r="F25" s="475"/>
      <c r="G25" s="475"/>
      <c r="H25" s="476"/>
    </row>
    <row r="26" spans="1:8" x14ac:dyDescent="0.25">
      <c r="A26" s="474"/>
      <c r="B26" s="475"/>
      <c r="C26" s="475"/>
      <c r="D26" s="475"/>
      <c r="E26" s="475"/>
      <c r="F26" s="475"/>
      <c r="G26" s="475"/>
      <c r="H26" s="476"/>
    </row>
    <row r="27" spans="1:8" x14ac:dyDescent="0.25">
      <c r="A27" s="474"/>
      <c r="B27" s="475"/>
      <c r="C27" s="475"/>
      <c r="D27" s="475"/>
      <c r="E27" s="475"/>
      <c r="F27" s="475"/>
      <c r="G27" s="475"/>
      <c r="H27" s="476"/>
    </row>
    <row r="28" spans="1:8" ht="15.75" thickBot="1" x14ac:dyDescent="0.3">
      <c r="A28" s="477"/>
      <c r="B28" s="478"/>
      <c r="C28" s="478"/>
      <c r="D28" s="478"/>
      <c r="E28" s="478"/>
      <c r="F28" s="478"/>
      <c r="G28" s="478"/>
      <c r="H28" s="479"/>
    </row>
    <row r="29" spans="1:8" x14ac:dyDescent="0.25">
      <c r="A29" s="166"/>
      <c r="B29" s="166"/>
      <c r="C29" s="166"/>
      <c r="D29" s="166"/>
      <c r="E29" s="166"/>
      <c r="F29" s="166"/>
      <c r="G29" s="166"/>
      <c r="H29" s="166"/>
    </row>
    <row r="30" spans="1:8" x14ac:dyDescent="0.25">
      <c r="A30" s="166"/>
      <c r="B30" s="166"/>
      <c r="C30" s="166"/>
      <c r="D30" s="166"/>
      <c r="E30" s="166"/>
      <c r="F30" s="166"/>
      <c r="G30" s="166"/>
      <c r="H30" s="166"/>
    </row>
    <row r="31" spans="1:8" x14ac:dyDescent="0.25">
      <c r="A31" s="166"/>
      <c r="B31" s="166"/>
      <c r="C31" s="166"/>
      <c r="D31" s="166"/>
      <c r="E31" s="166"/>
      <c r="F31" s="166"/>
      <c r="G31" s="166"/>
      <c r="H31" s="166"/>
    </row>
  </sheetData>
  <mergeCells count="14">
    <mergeCell ref="A24:H28"/>
    <mergeCell ref="A23:H23"/>
    <mergeCell ref="A16:G16"/>
    <mergeCell ref="A1:H1"/>
    <mergeCell ref="A2:H2"/>
    <mergeCell ref="A8:G8"/>
    <mergeCell ref="A9:H9"/>
    <mergeCell ref="A10:H10"/>
    <mergeCell ref="A17:H17"/>
    <mergeCell ref="A22:G22"/>
    <mergeCell ref="A19:G19"/>
    <mergeCell ref="A21:G21"/>
    <mergeCell ref="A20:G20"/>
    <mergeCell ref="A18:G18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view="pageBreakPreview" topLeftCell="A7" zoomScaleNormal="100" zoomScaleSheetLayoutView="100" workbookViewId="0">
      <selection activeCell="A32" sqref="A32:A37"/>
    </sheetView>
  </sheetViews>
  <sheetFormatPr defaultRowHeight="15" x14ac:dyDescent="0.25"/>
  <cols>
    <col min="1" max="1" width="9.85546875" bestFit="1" customWidth="1"/>
    <col min="2" max="2" width="58.5703125" customWidth="1"/>
    <col min="3" max="3" width="11.5703125" bestFit="1" customWidth="1"/>
    <col min="4" max="4" width="14.140625" customWidth="1"/>
    <col min="5" max="8" width="20.7109375" customWidth="1"/>
    <col min="16" max="16" width="10.7109375" bestFit="1" customWidth="1"/>
  </cols>
  <sheetData>
    <row r="1" spans="1:8" ht="15" customHeight="1" thickBot="1" x14ac:dyDescent="0.3">
      <c r="A1" s="486" t="s">
        <v>170</v>
      </c>
      <c r="B1" s="487"/>
      <c r="C1" s="487"/>
      <c r="D1" s="487"/>
      <c r="E1" s="487"/>
      <c r="F1" s="487"/>
      <c r="G1" s="487"/>
      <c r="H1" s="488"/>
    </row>
    <row r="2" spans="1:8" ht="15" customHeight="1" thickBot="1" x14ac:dyDescent="0.3">
      <c r="A2" s="503" t="s">
        <v>247</v>
      </c>
      <c r="B2" s="504"/>
      <c r="C2" s="504"/>
      <c r="D2" s="504"/>
      <c r="E2" s="504"/>
      <c r="F2" s="504"/>
      <c r="G2" s="504"/>
      <c r="H2" s="505"/>
    </row>
    <row r="3" spans="1:8" ht="15" customHeight="1" x14ac:dyDescent="0.25">
      <c r="A3" s="152" t="s">
        <v>166</v>
      </c>
      <c r="B3" s="153" t="s">
        <v>243</v>
      </c>
      <c r="C3" s="153" t="s">
        <v>167</v>
      </c>
      <c r="D3" s="153" t="s">
        <v>168</v>
      </c>
      <c r="E3" s="153" t="s">
        <v>171</v>
      </c>
      <c r="F3" s="153" t="s">
        <v>169</v>
      </c>
      <c r="G3" s="153" t="s">
        <v>226</v>
      </c>
      <c r="H3" s="154" t="s">
        <v>172</v>
      </c>
    </row>
    <row r="4" spans="1:8" ht="45" customHeight="1" x14ac:dyDescent="0.25">
      <c r="A4" s="116">
        <v>1</v>
      </c>
      <c r="B4" s="117" t="s">
        <v>244</v>
      </c>
      <c r="C4" s="95">
        <v>1</v>
      </c>
      <c r="D4" s="110">
        <v>12</v>
      </c>
      <c r="E4" s="95">
        <v>12</v>
      </c>
      <c r="F4" s="114">
        <f>F8*5%</f>
        <v>18000</v>
      </c>
      <c r="G4" s="114">
        <f>F4*C4</f>
        <v>18000</v>
      </c>
      <c r="H4" s="115">
        <f>G4/12</f>
        <v>1500</v>
      </c>
    </row>
    <row r="5" spans="1:8" ht="15" customHeight="1" x14ac:dyDescent="0.25">
      <c r="A5" s="113"/>
      <c r="B5" s="111" t="s">
        <v>245</v>
      </c>
      <c r="C5" s="111"/>
      <c r="D5" s="111"/>
      <c r="E5" s="111"/>
      <c r="F5" s="155"/>
      <c r="G5" s="155"/>
      <c r="H5" s="156"/>
    </row>
    <row r="6" spans="1:8" ht="150" customHeight="1" x14ac:dyDescent="0.25">
      <c r="A6" s="116">
        <v>1</v>
      </c>
      <c r="B6" s="157" t="s">
        <v>246</v>
      </c>
      <c r="C6" s="95">
        <v>1</v>
      </c>
      <c r="D6" s="110">
        <v>12</v>
      </c>
      <c r="E6" s="95">
        <v>12</v>
      </c>
      <c r="F6" s="114">
        <f>F8*10%</f>
        <v>36000</v>
      </c>
      <c r="G6" s="114">
        <f>F6*C6</f>
        <v>36000</v>
      </c>
      <c r="H6" s="115">
        <f>G6/12</f>
        <v>3000</v>
      </c>
    </row>
    <row r="7" spans="1:8" ht="15" customHeight="1" x14ac:dyDescent="0.25">
      <c r="A7" s="113" t="s">
        <v>166</v>
      </c>
      <c r="B7" s="112" t="s">
        <v>187</v>
      </c>
      <c r="C7" s="111" t="s">
        <v>167</v>
      </c>
      <c r="D7" s="111" t="s">
        <v>168</v>
      </c>
      <c r="E7" s="111" t="s">
        <v>171</v>
      </c>
      <c r="F7" s="155" t="s">
        <v>169</v>
      </c>
      <c r="G7" s="155" t="s">
        <v>226</v>
      </c>
      <c r="H7" s="156" t="s">
        <v>172</v>
      </c>
    </row>
    <row r="8" spans="1:8" ht="15" customHeight="1" thickBot="1" x14ac:dyDescent="0.3">
      <c r="A8" s="158">
        <v>1</v>
      </c>
      <c r="B8" s="159" t="s">
        <v>188</v>
      </c>
      <c r="C8" s="160" t="s">
        <v>167</v>
      </c>
      <c r="D8" s="161">
        <v>1</v>
      </c>
      <c r="E8" s="160">
        <v>60</v>
      </c>
      <c r="F8" s="162">
        <v>360000</v>
      </c>
      <c r="G8" s="163">
        <f>F8*D8</f>
        <v>360000</v>
      </c>
      <c r="H8" s="164">
        <f>(G8/E8)</f>
        <v>6000</v>
      </c>
    </row>
    <row r="9" spans="1:8" ht="15" customHeight="1" thickBot="1" x14ac:dyDescent="0.3">
      <c r="A9" s="495"/>
      <c r="B9" s="496"/>
      <c r="C9" s="496"/>
      <c r="D9" s="496"/>
      <c r="E9" s="496"/>
      <c r="F9" s="496"/>
      <c r="G9" s="496"/>
      <c r="H9" s="497"/>
    </row>
    <row r="10" spans="1:8" ht="15" customHeight="1" thickBot="1" x14ac:dyDescent="0.3">
      <c r="A10" s="506" t="s">
        <v>248</v>
      </c>
      <c r="B10" s="507"/>
      <c r="C10" s="507"/>
      <c r="D10" s="507"/>
      <c r="E10" s="507"/>
      <c r="F10" s="507"/>
      <c r="G10" s="507"/>
      <c r="H10" s="508"/>
    </row>
    <row r="11" spans="1:8" ht="15" customHeight="1" x14ac:dyDescent="0.25">
      <c r="A11" s="152" t="s">
        <v>166</v>
      </c>
      <c r="B11" s="153" t="s">
        <v>243</v>
      </c>
      <c r="C11" s="153" t="s">
        <v>167</v>
      </c>
      <c r="D11" s="153" t="s">
        <v>168</v>
      </c>
      <c r="E11" s="153" t="s">
        <v>171</v>
      </c>
      <c r="F11" s="153" t="s">
        <v>169</v>
      </c>
      <c r="G11" s="153" t="s">
        <v>226</v>
      </c>
      <c r="H11" s="154" t="s">
        <v>172</v>
      </c>
    </row>
    <row r="12" spans="1:8" ht="15" customHeight="1" x14ac:dyDescent="0.25">
      <c r="A12" s="116">
        <v>1</v>
      </c>
      <c r="B12" s="117" t="s">
        <v>244</v>
      </c>
      <c r="C12" s="95">
        <v>1</v>
      </c>
      <c r="D12" s="110">
        <v>12</v>
      </c>
      <c r="E12" s="95">
        <v>12</v>
      </c>
      <c r="F12" s="114">
        <f>F16*5%</f>
        <v>18975</v>
      </c>
      <c r="G12" s="114">
        <f>F12*C12</f>
        <v>18975</v>
      </c>
      <c r="H12" s="115">
        <f>G12/12</f>
        <v>1581.25</v>
      </c>
    </row>
    <row r="13" spans="1:8" ht="15" customHeight="1" x14ac:dyDescent="0.25">
      <c r="A13" s="113"/>
      <c r="B13" s="111" t="s">
        <v>245</v>
      </c>
      <c r="C13" s="111"/>
      <c r="D13" s="111"/>
      <c r="E13" s="111"/>
      <c r="F13" s="155"/>
      <c r="G13" s="155"/>
      <c r="H13" s="156"/>
    </row>
    <row r="14" spans="1:8" ht="150" x14ac:dyDescent="0.25">
      <c r="A14" s="116">
        <v>1</v>
      </c>
      <c r="B14" s="157" t="s">
        <v>246</v>
      </c>
      <c r="C14" s="95">
        <v>1</v>
      </c>
      <c r="D14" s="110">
        <v>12</v>
      </c>
      <c r="E14" s="95">
        <v>12</v>
      </c>
      <c r="F14" s="114">
        <f>F16*10%</f>
        <v>37950</v>
      </c>
      <c r="G14" s="114">
        <f>F14*C14</f>
        <v>37950</v>
      </c>
      <c r="H14" s="115">
        <f>G14/12</f>
        <v>3162.5</v>
      </c>
    </row>
    <row r="15" spans="1:8" x14ac:dyDescent="0.25">
      <c r="A15" s="113" t="s">
        <v>166</v>
      </c>
      <c r="B15" s="112" t="s">
        <v>187</v>
      </c>
      <c r="C15" s="111" t="s">
        <v>167</v>
      </c>
      <c r="D15" s="111" t="s">
        <v>168</v>
      </c>
      <c r="E15" s="111" t="s">
        <v>171</v>
      </c>
      <c r="F15" s="155" t="s">
        <v>169</v>
      </c>
      <c r="G15" s="155" t="s">
        <v>226</v>
      </c>
      <c r="H15" s="156" t="s">
        <v>172</v>
      </c>
    </row>
    <row r="16" spans="1:8" ht="15.75" thickBot="1" x14ac:dyDescent="0.3">
      <c r="A16" s="158">
        <v>1</v>
      </c>
      <c r="B16" s="159" t="s">
        <v>237</v>
      </c>
      <c r="C16" s="160" t="s">
        <v>167</v>
      </c>
      <c r="D16" s="161">
        <v>1</v>
      </c>
      <c r="E16" s="160">
        <v>60</v>
      </c>
      <c r="F16" s="162">
        <v>379500</v>
      </c>
      <c r="G16" s="163">
        <f>F16*D16</f>
        <v>379500</v>
      </c>
      <c r="H16" s="164">
        <f>(G16/E16)</f>
        <v>6325</v>
      </c>
    </row>
    <row r="17" spans="1:8" ht="15.75" thickBot="1" x14ac:dyDescent="0.3">
      <c r="A17" s="314"/>
      <c r="B17" s="315"/>
      <c r="C17" s="315"/>
      <c r="D17" s="315"/>
      <c r="E17" s="315"/>
      <c r="F17" s="315"/>
      <c r="G17" s="315"/>
      <c r="H17" s="316"/>
    </row>
    <row r="18" spans="1:8" ht="15.75" thickBot="1" x14ac:dyDescent="0.3">
      <c r="A18" s="498" t="s">
        <v>241</v>
      </c>
      <c r="B18" s="499"/>
      <c r="C18" s="499"/>
      <c r="D18" s="499"/>
      <c r="E18" s="499"/>
      <c r="F18" s="499"/>
      <c r="G18" s="500"/>
      <c r="H18" s="109">
        <f>SUM(H4:H8)/8</f>
        <v>1312.5</v>
      </c>
    </row>
    <row r="19" spans="1:8" ht="15.75" thickBot="1" x14ac:dyDescent="0.3">
      <c r="A19" s="498" t="s">
        <v>239</v>
      </c>
      <c r="B19" s="499"/>
      <c r="C19" s="499"/>
      <c r="D19" s="499"/>
      <c r="E19" s="499"/>
      <c r="F19" s="499"/>
      <c r="G19" s="500"/>
      <c r="H19" s="109">
        <f>SUM(H12:H16)/12</f>
        <v>922.4</v>
      </c>
    </row>
    <row r="20" spans="1:8" ht="15.75" thickBot="1" x14ac:dyDescent="0.3">
      <c r="A20" s="498" t="s">
        <v>275</v>
      </c>
      <c r="B20" s="499"/>
      <c r="C20" s="499"/>
      <c r="D20" s="499"/>
      <c r="E20" s="499"/>
      <c r="F20" s="499"/>
      <c r="G20" s="500"/>
      <c r="H20" s="109">
        <f>SUM(H12:H16)/12</f>
        <v>922.4</v>
      </c>
    </row>
    <row r="21" spans="1:8" ht="15.75" thickBot="1" x14ac:dyDescent="0.3">
      <c r="A21" s="498" t="s">
        <v>240</v>
      </c>
      <c r="B21" s="499"/>
      <c r="C21" s="499"/>
      <c r="D21" s="499"/>
      <c r="E21" s="499"/>
      <c r="F21" s="499"/>
      <c r="G21" s="500"/>
      <c r="H21" s="109">
        <f>SUM(H4:H8)/4</f>
        <v>2625</v>
      </c>
    </row>
    <row r="22" spans="1:8" ht="15.75" thickBot="1" x14ac:dyDescent="0.3">
      <c r="A22" s="498" t="s">
        <v>238</v>
      </c>
      <c r="B22" s="499"/>
      <c r="C22" s="499"/>
      <c r="D22" s="499"/>
      <c r="E22" s="499"/>
      <c r="F22" s="499"/>
      <c r="G22" s="500"/>
      <c r="H22" s="109">
        <f>SUM(H4:H8)/4</f>
        <v>2625</v>
      </c>
    </row>
    <row r="23" spans="1:8" ht="15.75" thickBot="1" x14ac:dyDescent="0.3">
      <c r="A23" s="480" t="s">
        <v>249</v>
      </c>
      <c r="B23" s="501"/>
      <c r="C23" s="501"/>
      <c r="D23" s="501"/>
      <c r="E23" s="501"/>
      <c r="F23" s="501"/>
      <c r="G23" s="501"/>
      <c r="H23" s="502"/>
    </row>
    <row r="24" spans="1:8" ht="15" customHeight="1" x14ac:dyDescent="0.25">
      <c r="A24" s="462" t="s">
        <v>299</v>
      </c>
      <c r="B24" s="463"/>
      <c r="C24" s="463"/>
      <c r="D24" s="463"/>
      <c r="E24" s="463"/>
      <c r="F24" s="463"/>
      <c r="G24" s="463"/>
      <c r="H24" s="464"/>
    </row>
    <row r="25" spans="1:8" x14ac:dyDescent="0.25">
      <c r="A25" s="465"/>
      <c r="B25" s="466"/>
      <c r="C25" s="466"/>
      <c r="D25" s="466"/>
      <c r="E25" s="466"/>
      <c r="F25" s="466"/>
      <c r="G25" s="466"/>
      <c r="H25" s="467"/>
    </row>
    <row r="26" spans="1:8" x14ac:dyDescent="0.25">
      <c r="A26" s="465"/>
      <c r="B26" s="466"/>
      <c r="C26" s="466"/>
      <c r="D26" s="466"/>
      <c r="E26" s="466"/>
      <c r="F26" s="466"/>
      <c r="G26" s="466"/>
      <c r="H26" s="467"/>
    </row>
    <row r="27" spans="1:8" x14ac:dyDescent="0.25">
      <c r="A27" s="465"/>
      <c r="B27" s="466"/>
      <c r="C27" s="466"/>
      <c r="D27" s="466"/>
      <c r="E27" s="466"/>
      <c r="F27" s="466"/>
      <c r="G27" s="466"/>
      <c r="H27" s="467"/>
    </row>
    <row r="28" spans="1:8" x14ac:dyDescent="0.25">
      <c r="A28" s="465"/>
      <c r="B28" s="466"/>
      <c r="C28" s="466"/>
      <c r="D28" s="466"/>
      <c r="E28" s="466"/>
      <c r="F28" s="466"/>
      <c r="G28" s="466"/>
      <c r="H28" s="467"/>
    </row>
    <row r="29" spans="1:8" x14ac:dyDescent="0.25">
      <c r="A29" s="465"/>
      <c r="B29" s="466"/>
      <c r="C29" s="466"/>
      <c r="D29" s="466"/>
      <c r="E29" s="466"/>
      <c r="F29" s="466"/>
      <c r="G29" s="466"/>
      <c r="H29" s="467"/>
    </row>
    <row r="30" spans="1:8" x14ac:dyDescent="0.25">
      <c r="A30" s="465"/>
      <c r="B30" s="466"/>
      <c r="C30" s="466"/>
      <c r="D30" s="466"/>
      <c r="E30" s="466"/>
      <c r="F30" s="466"/>
      <c r="G30" s="466"/>
      <c r="H30" s="467"/>
    </row>
    <row r="31" spans="1:8" x14ac:dyDescent="0.25">
      <c r="A31" s="465"/>
      <c r="B31" s="466"/>
      <c r="C31" s="466"/>
      <c r="D31" s="466"/>
      <c r="E31" s="466"/>
      <c r="F31" s="466"/>
      <c r="G31" s="466"/>
      <c r="H31" s="467"/>
    </row>
    <row r="32" spans="1:8" x14ac:dyDescent="0.25">
      <c r="A32" s="465"/>
      <c r="B32" s="466"/>
      <c r="C32" s="466"/>
      <c r="D32" s="466"/>
      <c r="E32" s="466"/>
      <c r="F32" s="466"/>
      <c r="G32" s="466"/>
      <c r="H32" s="467"/>
    </row>
    <row r="33" spans="1:8" x14ac:dyDescent="0.25">
      <c r="A33" s="465"/>
      <c r="B33" s="466"/>
      <c r="C33" s="466"/>
      <c r="D33" s="466"/>
      <c r="E33" s="466"/>
      <c r="F33" s="466"/>
      <c r="G33" s="466"/>
      <c r="H33" s="467"/>
    </row>
    <row r="34" spans="1:8" x14ac:dyDescent="0.25">
      <c r="A34" s="465"/>
      <c r="B34" s="466"/>
      <c r="C34" s="466"/>
      <c r="D34" s="466"/>
      <c r="E34" s="466"/>
      <c r="F34" s="466"/>
      <c r="G34" s="466"/>
      <c r="H34" s="467"/>
    </row>
    <row r="35" spans="1:8" x14ac:dyDescent="0.25">
      <c r="A35" s="465"/>
      <c r="B35" s="466"/>
      <c r="C35" s="466"/>
      <c r="D35" s="466"/>
      <c r="E35" s="466"/>
      <c r="F35" s="466"/>
      <c r="G35" s="466"/>
      <c r="H35" s="467"/>
    </row>
    <row r="36" spans="1:8" ht="15.75" thickBot="1" x14ac:dyDescent="0.3">
      <c r="A36" s="468"/>
      <c r="B36" s="469"/>
      <c r="C36" s="469"/>
      <c r="D36" s="469"/>
      <c r="E36" s="469"/>
      <c r="F36" s="469"/>
      <c r="G36" s="469"/>
      <c r="H36" s="470"/>
    </row>
  </sheetData>
  <mergeCells count="12">
    <mergeCell ref="A24:H36"/>
    <mergeCell ref="A23:H23"/>
    <mergeCell ref="A20:G20"/>
    <mergeCell ref="A1:H1"/>
    <mergeCell ref="A2:H2"/>
    <mergeCell ref="A22:G22"/>
    <mergeCell ref="A21:G21"/>
    <mergeCell ref="A19:G19"/>
    <mergeCell ref="A10:H10"/>
    <mergeCell ref="A17:H17"/>
    <mergeCell ref="A18:G18"/>
    <mergeCell ref="A9:H9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20" t="s">
        <v>95</v>
      </c>
      <c r="B1" s="320"/>
    </row>
    <row r="2" spans="1:2" ht="19.5" thickBot="1" x14ac:dyDescent="0.35">
      <c r="A2" s="21" t="s">
        <v>96</v>
      </c>
      <c r="B2" s="21" t="s">
        <v>97</v>
      </c>
    </row>
    <row r="3" spans="1:2" ht="19.5" thickBot="1" x14ac:dyDescent="0.35">
      <c r="A3" s="22" t="s">
        <v>98</v>
      </c>
      <c r="B3" s="23" t="s">
        <v>99</v>
      </c>
    </row>
    <row r="4" spans="1:2" ht="57" thickBot="1" x14ac:dyDescent="0.35">
      <c r="A4" s="24" t="s">
        <v>100</v>
      </c>
      <c r="B4" s="25" t="s">
        <v>101</v>
      </c>
    </row>
    <row r="5" spans="1:2" ht="19.5" thickBot="1" x14ac:dyDescent="0.35">
      <c r="A5" s="24" t="s">
        <v>102</v>
      </c>
      <c r="B5" s="25" t="s">
        <v>103</v>
      </c>
    </row>
    <row r="6" spans="1:2" ht="94.5" thickBot="1" x14ac:dyDescent="0.35">
      <c r="A6" s="24" t="s">
        <v>104</v>
      </c>
      <c r="B6" s="25" t="s">
        <v>105</v>
      </c>
    </row>
    <row r="7" spans="1:2" ht="38.25" thickBot="1" x14ac:dyDescent="0.35">
      <c r="A7" s="24" t="s">
        <v>106</v>
      </c>
      <c r="B7" s="25" t="s">
        <v>107</v>
      </c>
    </row>
    <row r="8" spans="1:2" ht="19.5" thickBot="1" x14ac:dyDescent="0.35">
      <c r="A8" s="24" t="s">
        <v>108</v>
      </c>
      <c r="B8" s="25" t="s">
        <v>109</v>
      </c>
    </row>
    <row r="9" spans="1:2" ht="38.25" thickBot="1" x14ac:dyDescent="0.35">
      <c r="A9" s="24" t="s">
        <v>110</v>
      </c>
      <c r="B9" s="25" t="s">
        <v>111</v>
      </c>
    </row>
    <row r="10" spans="1:2" ht="57" thickBot="1" x14ac:dyDescent="0.35">
      <c r="A10" s="24" t="s">
        <v>112</v>
      </c>
      <c r="B10" s="25" t="s">
        <v>113</v>
      </c>
    </row>
    <row r="11" spans="1:2" ht="75.75" thickBot="1" x14ac:dyDescent="0.35">
      <c r="A11" s="24" t="s">
        <v>114</v>
      </c>
      <c r="B11" s="25" t="s">
        <v>115</v>
      </c>
    </row>
    <row r="12" spans="1:2" ht="57" thickBot="1" x14ac:dyDescent="0.35">
      <c r="A12" s="24" t="s">
        <v>112</v>
      </c>
      <c r="B12" s="25" t="s">
        <v>116</v>
      </c>
    </row>
    <row r="13" spans="1:2" ht="38.25" thickBot="1" x14ac:dyDescent="0.35">
      <c r="A13" s="24" t="s">
        <v>112</v>
      </c>
      <c r="B13" s="25" t="s">
        <v>117</v>
      </c>
    </row>
    <row r="14" spans="1:2" ht="57" thickBot="1" x14ac:dyDescent="0.35">
      <c r="A14" s="24" t="s">
        <v>112</v>
      </c>
      <c r="B14" s="25" t="s">
        <v>118</v>
      </c>
    </row>
    <row r="15" spans="1:2" ht="19.5" thickBot="1" x14ac:dyDescent="0.35">
      <c r="A15" s="24" t="s">
        <v>112</v>
      </c>
      <c r="B15" s="25" t="s">
        <v>119</v>
      </c>
    </row>
    <row r="16" spans="1:2" ht="38.25" thickBot="1" x14ac:dyDescent="0.35">
      <c r="A16" s="24" t="s">
        <v>120</v>
      </c>
      <c r="B16" s="25" t="s">
        <v>121</v>
      </c>
    </row>
    <row r="17" spans="1:2" ht="38.25" thickBot="1" x14ac:dyDescent="0.35">
      <c r="A17" s="24" t="s">
        <v>122</v>
      </c>
      <c r="B17" s="25" t="s">
        <v>123</v>
      </c>
    </row>
    <row r="18" spans="1:2" ht="38.25" thickBot="1" x14ac:dyDescent="0.35">
      <c r="A18" s="24" t="s">
        <v>112</v>
      </c>
      <c r="B18" s="25" t="s">
        <v>124</v>
      </c>
    </row>
    <row r="19" spans="1:2" ht="57" thickBot="1" x14ac:dyDescent="0.35">
      <c r="A19" s="24" t="s">
        <v>112</v>
      </c>
      <c r="B19" s="25" t="s">
        <v>125</v>
      </c>
    </row>
    <row r="20" spans="1:2" ht="38.25" thickBot="1" x14ac:dyDescent="0.35">
      <c r="A20" s="24" t="s">
        <v>112</v>
      </c>
      <c r="B20" s="25" t="s">
        <v>126</v>
      </c>
    </row>
    <row r="21" spans="1:2" ht="57" thickBot="1" x14ac:dyDescent="0.35">
      <c r="A21" s="24" t="s">
        <v>112</v>
      </c>
      <c r="B21" s="25" t="s">
        <v>127</v>
      </c>
    </row>
    <row r="22" spans="1:2" x14ac:dyDescent="0.3">
      <c r="A22" s="26" t="s">
        <v>112</v>
      </c>
      <c r="B22" s="27" t="s">
        <v>128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view="pageBreakPreview" zoomScale="80" zoomScaleNormal="80" zoomScaleSheetLayoutView="80" workbookViewId="0">
      <selection activeCell="A32" sqref="A32:A37"/>
    </sheetView>
  </sheetViews>
  <sheetFormatPr defaultRowHeight="12.75" x14ac:dyDescent="0.25"/>
  <cols>
    <col min="1" max="1" width="10.7109375" style="126" customWidth="1"/>
    <col min="2" max="2" width="60.7109375" style="126" customWidth="1"/>
    <col min="3" max="8" width="20.7109375" style="126" customWidth="1"/>
    <col min="9" max="10" width="9.140625" style="126"/>
    <col min="11" max="11" width="9.140625" style="126" customWidth="1"/>
    <col min="12" max="16384" width="9.140625" style="126"/>
  </cols>
  <sheetData>
    <row r="1" spans="1:8" ht="20.100000000000001" customHeight="1" x14ac:dyDescent="0.25">
      <c r="A1" s="339" t="s">
        <v>254</v>
      </c>
      <c r="B1" s="340"/>
      <c r="C1" s="340"/>
      <c r="D1" s="340"/>
      <c r="E1" s="340"/>
      <c r="F1" s="340"/>
      <c r="G1" s="340"/>
      <c r="H1" s="341"/>
    </row>
    <row r="2" spans="1:8" ht="45" customHeight="1" x14ac:dyDescent="0.25">
      <c r="A2" s="253" t="s">
        <v>258</v>
      </c>
      <c r="B2" s="254" t="s">
        <v>259</v>
      </c>
      <c r="C2" s="255" t="s">
        <v>286</v>
      </c>
      <c r="D2" s="255" t="s">
        <v>260</v>
      </c>
      <c r="E2" s="255" t="s">
        <v>261</v>
      </c>
      <c r="F2" s="254" t="s">
        <v>262</v>
      </c>
      <c r="G2" s="254" t="s">
        <v>287</v>
      </c>
      <c r="H2" s="256" t="s">
        <v>288</v>
      </c>
    </row>
    <row r="3" spans="1:8" ht="150" customHeight="1" x14ac:dyDescent="0.25">
      <c r="A3" s="187">
        <v>1</v>
      </c>
      <c r="B3" s="257" t="s">
        <v>296</v>
      </c>
      <c r="C3" s="189" t="s">
        <v>291</v>
      </c>
      <c r="D3" s="189" t="s">
        <v>297</v>
      </c>
      <c r="E3" s="190">
        <v>1</v>
      </c>
      <c r="F3" s="191">
        <f>('Motorista - Diurno'!H112+'Técnico de Enfermagem - Diurno'!F113)*2</f>
        <v>50583.32</v>
      </c>
      <c r="G3" s="191">
        <f>F3*E3</f>
        <v>50583.32</v>
      </c>
      <c r="H3" s="247">
        <f>G3*12</f>
        <v>606999.84</v>
      </c>
    </row>
    <row r="4" spans="1:8" ht="150" customHeight="1" x14ac:dyDescent="0.25">
      <c r="A4" s="187">
        <v>2</v>
      </c>
      <c r="B4" s="258" t="s">
        <v>293</v>
      </c>
      <c r="C4" s="189" t="s">
        <v>289</v>
      </c>
      <c r="D4" s="189" t="s">
        <v>297</v>
      </c>
      <c r="E4" s="190">
        <v>1</v>
      </c>
      <c r="F4" s="191">
        <f>('Motorista - Diurno'!E112+'Motorista - Noturno'!E113+'Enfermeiro - Diurno'!D112+'Enfermeiro - Noturno'!D113+'Médico - Diurno '!D112+'Médico - Noturno'!D112)*2</f>
        <v>281682.88</v>
      </c>
      <c r="G4" s="191">
        <f>F4*E4</f>
        <v>281682.88</v>
      </c>
      <c r="H4" s="247">
        <f t="shared" ref="H4" si="0">G4*12</f>
        <v>3380194.56</v>
      </c>
    </row>
    <row r="5" spans="1:8" ht="150" customHeight="1" x14ac:dyDescent="0.25">
      <c r="A5" s="187">
        <v>3</v>
      </c>
      <c r="B5" s="259" t="s">
        <v>295</v>
      </c>
      <c r="C5" s="189" t="s">
        <v>290</v>
      </c>
      <c r="D5" s="189" t="s">
        <v>297</v>
      </c>
      <c r="E5" s="190">
        <v>1</v>
      </c>
      <c r="F5" s="191">
        <f>('Motorista - Diurno'!G112+'Técnico de Enfermagem - Diurno'!E113)*2</f>
        <v>50583.32</v>
      </c>
      <c r="G5" s="191">
        <f>F5*E5</f>
        <v>50583.32</v>
      </c>
      <c r="H5" s="247">
        <f>G5*12</f>
        <v>606999.84</v>
      </c>
    </row>
    <row r="6" spans="1:8" ht="150" customHeight="1" x14ac:dyDescent="0.25">
      <c r="A6" s="187">
        <v>4</v>
      </c>
      <c r="B6" s="257" t="s">
        <v>292</v>
      </c>
      <c r="C6" s="189" t="s">
        <v>289</v>
      </c>
      <c r="D6" s="189" t="s">
        <v>297</v>
      </c>
      <c r="E6" s="190">
        <v>2</v>
      </c>
      <c r="F6" s="191">
        <f>('Motorista - Diurno'!D112+'Motorista - Noturno'!D113+'Técnico de Enfermagem - Diurno'!D113+'Técnico de Enfermagem - Noturno'!D113)*2</f>
        <v>89868.44</v>
      </c>
      <c r="G6" s="191">
        <f>F6*E6</f>
        <v>179736.88</v>
      </c>
      <c r="H6" s="247">
        <f>G6*12</f>
        <v>2156842.56</v>
      </c>
    </row>
    <row r="7" spans="1:8" ht="150" customHeight="1" thickBot="1" x14ac:dyDescent="0.3">
      <c r="A7" s="296">
        <v>5</v>
      </c>
      <c r="B7" s="297" t="s">
        <v>294</v>
      </c>
      <c r="C7" s="298" t="s">
        <v>289</v>
      </c>
      <c r="D7" s="298" t="s">
        <v>297</v>
      </c>
      <c r="E7" s="299">
        <v>1</v>
      </c>
      <c r="F7" s="300">
        <f>('Motorista - Diurno'!F112+'Motorista - Noturno'!F113+'Enfermeiro - Diurno'!E112+'Enfermeiro - Noturno'!E113+'Médico - Diurno '!E112+'Médico - Noturno'!E112)*2</f>
        <v>279058.09999999998</v>
      </c>
      <c r="G7" s="300">
        <f>F7*E7</f>
        <v>279058.09999999998</v>
      </c>
      <c r="H7" s="301">
        <f>G7*12</f>
        <v>3348697.2</v>
      </c>
    </row>
    <row r="8" spans="1:8" ht="15" customHeight="1" thickBot="1" x14ac:dyDescent="0.3">
      <c r="A8" s="342" t="s">
        <v>255</v>
      </c>
      <c r="B8" s="343"/>
      <c r="C8" s="343"/>
      <c r="D8" s="343"/>
      <c r="E8" s="343"/>
      <c r="F8" s="343"/>
      <c r="G8" s="343"/>
      <c r="H8" s="295">
        <f>SUM(H3:H7)</f>
        <v>10099734</v>
      </c>
    </row>
    <row r="9" spans="1:8" ht="16.5" thickBot="1" x14ac:dyDescent="0.3">
      <c r="A9" s="246"/>
      <c r="B9" s="185"/>
      <c r="C9" s="185"/>
      <c r="D9" s="185"/>
      <c r="E9" s="185"/>
      <c r="F9" s="185"/>
      <c r="G9" s="185"/>
      <c r="H9" s="186"/>
    </row>
    <row r="10" spans="1:8" ht="20.100000000000001" customHeight="1" x14ac:dyDescent="0.25">
      <c r="A10" s="332" t="s">
        <v>254</v>
      </c>
      <c r="B10" s="333"/>
      <c r="C10" s="333"/>
      <c r="D10" s="333"/>
      <c r="E10" s="333"/>
      <c r="F10" s="333"/>
      <c r="G10" s="333"/>
      <c r="H10" s="334"/>
    </row>
    <row r="11" spans="1:8" ht="47.25" x14ac:dyDescent="0.25">
      <c r="A11" s="335" t="s">
        <v>175</v>
      </c>
      <c r="B11" s="336"/>
      <c r="C11" s="192" t="s">
        <v>176</v>
      </c>
      <c r="D11" s="192" t="s">
        <v>177</v>
      </c>
      <c r="E11" s="192" t="s">
        <v>178</v>
      </c>
      <c r="F11" s="192" t="s">
        <v>179</v>
      </c>
      <c r="G11" s="192" t="s">
        <v>180</v>
      </c>
      <c r="H11" s="193" t="s">
        <v>181</v>
      </c>
    </row>
    <row r="12" spans="1:8" ht="15" customHeight="1" thickBot="1" x14ac:dyDescent="0.3">
      <c r="A12" s="337" t="s">
        <v>182</v>
      </c>
      <c r="B12" s="338"/>
      <c r="C12" s="194" t="s">
        <v>183</v>
      </c>
      <c r="D12" s="194" t="s">
        <v>184</v>
      </c>
      <c r="E12" s="195" t="s">
        <v>228</v>
      </c>
      <c r="F12" s="195" t="s">
        <v>229</v>
      </c>
      <c r="G12" s="196" t="s">
        <v>185</v>
      </c>
      <c r="H12" s="197" t="s">
        <v>227</v>
      </c>
    </row>
    <row r="13" spans="1:8" ht="15" customHeight="1" thickBot="1" x14ac:dyDescent="0.3">
      <c r="A13" s="321" t="s">
        <v>189</v>
      </c>
      <c r="B13" s="322"/>
      <c r="C13" s="322"/>
      <c r="D13" s="322"/>
      <c r="E13" s="322"/>
      <c r="F13" s="322"/>
      <c r="G13" s="322"/>
      <c r="H13" s="323"/>
    </row>
    <row r="14" spans="1:8" ht="15" customHeight="1" x14ac:dyDescent="0.25">
      <c r="A14" s="326">
        <v>1</v>
      </c>
      <c r="B14" s="198" t="s">
        <v>300</v>
      </c>
      <c r="C14" s="199">
        <f>'Motorista - Diurno'!H112</f>
        <v>12952.85</v>
      </c>
      <c r="D14" s="200">
        <v>2</v>
      </c>
      <c r="E14" s="201">
        <v>1</v>
      </c>
      <c r="F14" s="202">
        <f>C14*D14</f>
        <v>25905.7</v>
      </c>
      <c r="G14" s="202">
        <f>F14*E14</f>
        <v>25905.7</v>
      </c>
      <c r="H14" s="203">
        <f>G14*12</f>
        <v>310868.40000000002</v>
      </c>
    </row>
    <row r="15" spans="1:8" ht="15" customHeight="1" thickBot="1" x14ac:dyDescent="0.3">
      <c r="A15" s="327"/>
      <c r="B15" s="248" t="s">
        <v>234</v>
      </c>
      <c r="C15" s="249">
        <f>'Técnico de Enfermagem - Diurno'!F113</f>
        <v>12338.81</v>
      </c>
      <c r="D15" s="250">
        <v>2</v>
      </c>
      <c r="E15" s="251">
        <v>1</v>
      </c>
      <c r="F15" s="249">
        <f>C15*D15</f>
        <v>24677.62</v>
      </c>
      <c r="G15" s="249">
        <f>F15*E15</f>
        <v>24677.62</v>
      </c>
      <c r="H15" s="252">
        <f t="shared" ref="H15" si="1">G15*12</f>
        <v>296131.44</v>
      </c>
    </row>
    <row r="16" spans="1:8" ht="15" customHeight="1" thickBot="1" x14ac:dyDescent="0.3">
      <c r="A16" s="321" t="s">
        <v>235</v>
      </c>
      <c r="B16" s="322"/>
      <c r="C16" s="322"/>
      <c r="D16" s="322"/>
      <c r="E16" s="322"/>
      <c r="F16" s="322"/>
      <c r="G16" s="322"/>
      <c r="H16" s="323"/>
    </row>
    <row r="17" spans="1:8" ht="15" customHeight="1" x14ac:dyDescent="0.25">
      <c r="A17" s="328">
        <v>2</v>
      </c>
      <c r="B17" s="198" t="s">
        <v>300</v>
      </c>
      <c r="C17" s="199">
        <f>'Motorista - Diurno'!E112</f>
        <v>11841.56</v>
      </c>
      <c r="D17" s="200">
        <v>2</v>
      </c>
      <c r="E17" s="201">
        <v>1</v>
      </c>
      <c r="F17" s="202">
        <f>C17*D17</f>
        <v>23683.119999999999</v>
      </c>
      <c r="G17" s="202">
        <f>F17*E17</f>
        <v>23683.119999999999</v>
      </c>
      <c r="H17" s="203">
        <f>G17*12</f>
        <v>284197.44</v>
      </c>
    </row>
    <row r="18" spans="1:8" ht="15" customHeight="1" x14ac:dyDescent="0.25">
      <c r="A18" s="329"/>
      <c r="B18" s="204" t="s">
        <v>301</v>
      </c>
      <c r="C18" s="208">
        <f>'Motorista - Noturno'!E113</f>
        <v>12921.74</v>
      </c>
      <c r="D18" s="188">
        <v>2</v>
      </c>
      <c r="E18" s="206">
        <v>1</v>
      </c>
      <c r="F18" s="205">
        <f t="shared" ref="F18" si="2">C18*D18</f>
        <v>25843.48</v>
      </c>
      <c r="G18" s="205">
        <f>F18*E18</f>
        <v>25843.48</v>
      </c>
      <c r="H18" s="207">
        <f t="shared" ref="H18:H22" si="3">G18*12</f>
        <v>310121.76</v>
      </c>
    </row>
    <row r="19" spans="1:8" ht="15" customHeight="1" x14ac:dyDescent="0.25">
      <c r="A19" s="329"/>
      <c r="B19" s="204" t="s">
        <v>232</v>
      </c>
      <c r="C19" s="205">
        <f>'Enfermeiro - Diurno'!D112</f>
        <v>13253.77</v>
      </c>
      <c r="D19" s="188">
        <v>2</v>
      </c>
      <c r="E19" s="206">
        <v>1</v>
      </c>
      <c r="F19" s="205">
        <f>C19*D19</f>
        <v>26507.54</v>
      </c>
      <c r="G19" s="205">
        <f>F19*E19</f>
        <v>26507.54</v>
      </c>
      <c r="H19" s="207">
        <f t="shared" ref="H19:H20" si="4">G19*12</f>
        <v>318090.48</v>
      </c>
    </row>
    <row r="20" spans="1:8" ht="15" customHeight="1" x14ac:dyDescent="0.25">
      <c r="A20" s="329"/>
      <c r="B20" s="204" t="s">
        <v>236</v>
      </c>
      <c r="C20" s="205">
        <f>'Enfermeiro - Noturno'!D113</f>
        <v>14577.32</v>
      </c>
      <c r="D20" s="188">
        <v>2</v>
      </c>
      <c r="E20" s="206">
        <v>1</v>
      </c>
      <c r="F20" s="205">
        <f t="shared" ref="F20" si="5">C20*D20</f>
        <v>29154.639999999999</v>
      </c>
      <c r="G20" s="205">
        <f t="shared" ref="G20" si="6">F20*E20</f>
        <v>29154.639999999999</v>
      </c>
      <c r="H20" s="207">
        <f t="shared" si="4"/>
        <v>349855.68</v>
      </c>
    </row>
    <row r="21" spans="1:8" ht="15" customHeight="1" x14ac:dyDescent="0.25">
      <c r="A21" s="329"/>
      <c r="B21" s="204" t="s">
        <v>256</v>
      </c>
      <c r="C21" s="205">
        <f>'Médico - Diurno '!D112</f>
        <v>41882.629999999997</v>
      </c>
      <c r="D21" s="188">
        <v>2</v>
      </c>
      <c r="E21" s="206">
        <v>1</v>
      </c>
      <c r="F21" s="205">
        <f>C21*D21</f>
        <v>83765.259999999995</v>
      </c>
      <c r="G21" s="205">
        <f>F21*E21</f>
        <v>83765.259999999995</v>
      </c>
      <c r="H21" s="207">
        <f t="shared" si="3"/>
        <v>1005183.12</v>
      </c>
    </row>
    <row r="22" spans="1:8" ht="15" customHeight="1" thickBot="1" x14ac:dyDescent="0.3">
      <c r="A22" s="329"/>
      <c r="B22" s="204" t="s">
        <v>257</v>
      </c>
      <c r="C22" s="205">
        <f>'Médico - Noturno'!D112</f>
        <v>46364.42</v>
      </c>
      <c r="D22" s="188">
        <v>2</v>
      </c>
      <c r="E22" s="206">
        <v>1</v>
      </c>
      <c r="F22" s="205">
        <f t="shared" ref="F22" si="7">C22*D22</f>
        <v>92728.84</v>
      </c>
      <c r="G22" s="205">
        <f t="shared" ref="G22" si="8">F22*E22</f>
        <v>92728.84</v>
      </c>
      <c r="H22" s="207">
        <f t="shared" si="3"/>
        <v>1112746.08</v>
      </c>
    </row>
    <row r="23" spans="1:8" ht="15" customHeight="1" thickBot="1" x14ac:dyDescent="0.3">
      <c r="A23" s="321" t="s">
        <v>189</v>
      </c>
      <c r="B23" s="322"/>
      <c r="C23" s="322"/>
      <c r="D23" s="322"/>
      <c r="E23" s="322"/>
      <c r="F23" s="322"/>
      <c r="G23" s="322"/>
      <c r="H23" s="323"/>
    </row>
    <row r="24" spans="1:8" ht="15" customHeight="1" x14ac:dyDescent="0.25">
      <c r="A24" s="326">
        <v>3</v>
      </c>
      <c r="B24" s="198" t="s">
        <v>300</v>
      </c>
      <c r="C24" s="199">
        <f>'Motorista - Diurno'!G112</f>
        <v>12952.85</v>
      </c>
      <c r="D24" s="200">
        <v>2</v>
      </c>
      <c r="E24" s="201">
        <v>1</v>
      </c>
      <c r="F24" s="202">
        <f>C24*D24</f>
        <v>25905.7</v>
      </c>
      <c r="G24" s="202">
        <f>F24*E24</f>
        <v>25905.7</v>
      </c>
      <c r="H24" s="203">
        <f>G24*12</f>
        <v>310868.40000000002</v>
      </c>
    </row>
    <row r="25" spans="1:8" ht="15" customHeight="1" thickBot="1" x14ac:dyDescent="0.3">
      <c r="A25" s="327"/>
      <c r="B25" s="204" t="s">
        <v>234</v>
      </c>
      <c r="C25" s="205">
        <f>'Técnico de Enfermagem - Diurno'!E113</f>
        <v>12338.81</v>
      </c>
      <c r="D25" s="188">
        <v>2</v>
      </c>
      <c r="E25" s="206">
        <v>1</v>
      </c>
      <c r="F25" s="205">
        <f>C25*D25</f>
        <v>24677.62</v>
      </c>
      <c r="G25" s="205">
        <f>F25*E25</f>
        <v>24677.62</v>
      </c>
      <c r="H25" s="207">
        <f t="shared" ref="H25" si="9">G25*12</f>
        <v>296131.44</v>
      </c>
    </row>
    <row r="26" spans="1:8" ht="15" customHeight="1" thickBot="1" x14ac:dyDescent="0.3">
      <c r="A26" s="321" t="s">
        <v>189</v>
      </c>
      <c r="B26" s="322"/>
      <c r="C26" s="322"/>
      <c r="D26" s="322"/>
      <c r="E26" s="322"/>
      <c r="F26" s="322"/>
      <c r="G26" s="322"/>
      <c r="H26" s="323"/>
    </row>
    <row r="27" spans="1:8" ht="15" customHeight="1" x14ac:dyDescent="0.25">
      <c r="A27" s="326">
        <v>4</v>
      </c>
      <c r="B27" s="198" t="s">
        <v>300</v>
      </c>
      <c r="C27" s="199">
        <f>'Motorista - Diurno'!D112</f>
        <v>11186.11</v>
      </c>
      <c r="D27" s="200">
        <v>2</v>
      </c>
      <c r="E27" s="201">
        <v>2</v>
      </c>
      <c r="F27" s="202">
        <f>C27*D27</f>
        <v>22372.22</v>
      </c>
      <c r="G27" s="202">
        <f>F27*E27</f>
        <v>44744.44</v>
      </c>
      <c r="H27" s="203">
        <f>G27*12</f>
        <v>536933.28</v>
      </c>
    </row>
    <row r="28" spans="1:8" ht="15" customHeight="1" x14ac:dyDescent="0.25">
      <c r="A28" s="327"/>
      <c r="B28" s="204" t="s">
        <v>301</v>
      </c>
      <c r="C28" s="208">
        <f>'Motorista - Noturno'!D113</f>
        <v>12135.72</v>
      </c>
      <c r="D28" s="188">
        <v>2</v>
      </c>
      <c r="E28" s="206">
        <v>2</v>
      </c>
      <c r="F28" s="205">
        <f t="shared" ref="F28" si="10">C28*D28</f>
        <v>24271.439999999999</v>
      </c>
      <c r="G28" s="205">
        <f>F28*E28</f>
        <v>48542.879999999997</v>
      </c>
      <c r="H28" s="207">
        <f t="shared" ref="H28" si="11">G28*12</f>
        <v>582514.56000000006</v>
      </c>
    </row>
    <row r="29" spans="1:8" ht="15" customHeight="1" x14ac:dyDescent="0.25">
      <c r="A29" s="327"/>
      <c r="B29" s="204" t="s">
        <v>234</v>
      </c>
      <c r="C29" s="205">
        <f>'Técnico de Enfermagem - Diurno'!D113</f>
        <v>10071.67</v>
      </c>
      <c r="D29" s="188">
        <v>2</v>
      </c>
      <c r="E29" s="206">
        <v>2</v>
      </c>
      <c r="F29" s="205">
        <f>C29*D29</f>
        <v>20143.34</v>
      </c>
      <c r="G29" s="205">
        <f>F29*E29</f>
        <v>40286.68</v>
      </c>
      <c r="H29" s="207">
        <f t="shared" ref="H29:H30" si="12">G29*12</f>
        <v>483440.16</v>
      </c>
    </row>
    <row r="30" spans="1:8" ht="15" customHeight="1" thickBot="1" x14ac:dyDescent="0.3">
      <c r="A30" s="331"/>
      <c r="B30" s="209" t="s">
        <v>233</v>
      </c>
      <c r="C30" s="205">
        <f>'Técnico de Enfermagem - Noturno'!D113</f>
        <v>11540.72</v>
      </c>
      <c r="D30" s="188">
        <v>2</v>
      </c>
      <c r="E30" s="206">
        <v>2</v>
      </c>
      <c r="F30" s="205">
        <f t="shared" ref="F30" si="13">C30*D30</f>
        <v>23081.439999999999</v>
      </c>
      <c r="G30" s="205">
        <f t="shared" ref="G30" si="14">F30*E30</f>
        <v>46162.879999999997</v>
      </c>
      <c r="H30" s="207">
        <f t="shared" si="12"/>
        <v>553954.56000000006</v>
      </c>
    </row>
    <row r="31" spans="1:8" ht="15" customHeight="1" thickBot="1" x14ac:dyDescent="0.3">
      <c r="A31" s="321" t="s">
        <v>235</v>
      </c>
      <c r="B31" s="322"/>
      <c r="C31" s="322"/>
      <c r="D31" s="322"/>
      <c r="E31" s="322"/>
      <c r="F31" s="322"/>
      <c r="G31" s="322"/>
      <c r="H31" s="323"/>
    </row>
    <row r="32" spans="1:8" ht="15" customHeight="1" x14ac:dyDescent="0.25">
      <c r="A32" s="328">
        <v>5</v>
      </c>
      <c r="B32" s="198" t="s">
        <v>300</v>
      </c>
      <c r="C32" s="199">
        <f>'Motorista - Diurno'!F112</f>
        <v>11841.56</v>
      </c>
      <c r="D32" s="200">
        <v>2</v>
      </c>
      <c r="E32" s="201">
        <v>1</v>
      </c>
      <c r="F32" s="202">
        <f>C32*D32</f>
        <v>23683.119999999999</v>
      </c>
      <c r="G32" s="202">
        <f>F32*E32</f>
        <v>23683.119999999999</v>
      </c>
      <c r="H32" s="203">
        <f>G32*12</f>
        <v>284197.44</v>
      </c>
    </row>
    <row r="33" spans="1:8" ht="15" customHeight="1" x14ac:dyDescent="0.25">
      <c r="A33" s="329"/>
      <c r="B33" s="204" t="s">
        <v>301</v>
      </c>
      <c r="C33" s="208">
        <f>'Motorista - Noturno'!F113</f>
        <v>11609.35</v>
      </c>
      <c r="D33" s="188">
        <v>2</v>
      </c>
      <c r="E33" s="206">
        <v>1</v>
      </c>
      <c r="F33" s="205">
        <f t="shared" ref="F33" si="15">C33*D33</f>
        <v>23218.7</v>
      </c>
      <c r="G33" s="205">
        <f>F33*E33</f>
        <v>23218.7</v>
      </c>
      <c r="H33" s="207">
        <f t="shared" ref="H33:H37" si="16">G33*12</f>
        <v>278624.40000000002</v>
      </c>
    </row>
    <row r="34" spans="1:8" ht="15" customHeight="1" x14ac:dyDescent="0.25">
      <c r="A34" s="329"/>
      <c r="B34" s="204" t="s">
        <v>232</v>
      </c>
      <c r="C34" s="205">
        <f>'Enfermeiro - Diurno'!E112</f>
        <v>13253.77</v>
      </c>
      <c r="D34" s="188">
        <v>2</v>
      </c>
      <c r="E34" s="206">
        <v>1</v>
      </c>
      <c r="F34" s="205">
        <f>C34*D34</f>
        <v>26507.54</v>
      </c>
      <c r="G34" s="205">
        <f>F34*E34</f>
        <v>26507.54</v>
      </c>
      <c r="H34" s="207">
        <f t="shared" si="16"/>
        <v>318090.48</v>
      </c>
    </row>
    <row r="35" spans="1:8" ht="15" customHeight="1" x14ac:dyDescent="0.25">
      <c r="A35" s="329"/>
      <c r="B35" s="204" t="s">
        <v>236</v>
      </c>
      <c r="C35" s="205">
        <f>'Enfermeiro - Noturno'!E113</f>
        <v>14577.32</v>
      </c>
      <c r="D35" s="188">
        <v>2</v>
      </c>
      <c r="E35" s="206">
        <v>1</v>
      </c>
      <c r="F35" s="205">
        <f t="shared" ref="F35" si="17">C35*D35</f>
        <v>29154.639999999999</v>
      </c>
      <c r="G35" s="205">
        <f t="shared" ref="G35" si="18">F35*E35</f>
        <v>29154.639999999999</v>
      </c>
      <c r="H35" s="207">
        <f t="shared" si="16"/>
        <v>349855.68</v>
      </c>
    </row>
    <row r="36" spans="1:8" ht="15" customHeight="1" x14ac:dyDescent="0.25">
      <c r="A36" s="329"/>
      <c r="B36" s="204" t="s">
        <v>256</v>
      </c>
      <c r="C36" s="205">
        <f>'Médico - Diurno '!E112</f>
        <v>41882.629999999997</v>
      </c>
      <c r="D36" s="188">
        <v>2</v>
      </c>
      <c r="E36" s="206">
        <v>1</v>
      </c>
      <c r="F36" s="205">
        <f>C36*D36</f>
        <v>83765.259999999995</v>
      </c>
      <c r="G36" s="205">
        <f>F36*E36</f>
        <v>83765.259999999995</v>
      </c>
      <c r="H36" s="207">
        <f t="shared" si="16"/>
        <v>1005183.12</v>
      </c>
    </row>
    <row r="37" spans="1:8" ht="15" customHeight="1" thickBot="1" x14ac:dyDescent="0.3">
      <c r="A37" s="330"/>
      <c r="B37" s="209" t="s">
        <v>257</v>
      </c>
      <c r="C37" s="240">
        <f>'Médico - Noturno'!E112</f>
        <v>46364.42</v>
      </c>
      <c r="D37" s="241">
        <v>2</v>
      </c>
      <c r="E37" s="242">
        <v>1</v>
      </c>
      <c r="F37" s="240">
        <f t="shared" ref="F37" si="19">C37*D37</f>
        <v>92728.84</v>
      </c>
      <c r="G37" s="240">
        <f t="shared" ref="G37" si="20">F37*E37</f>
        <v>92728.84</v>
      </c>
      <c r="H37" s="243">
        <f t="shared" si="16"/>
        <v>1112746.08</v>
      </c>
    </row>
    <row r="38" spans="1:8" ht="15" customHeight="1" thickBot="1" x14ac:dyDescent="0.3">
      <c r="A38" s="324" t="s">
        <v>255</v>
      </c>
      <c r="B38" s="325"/>
      <c r="C38" s="325"/>
      <c r="D38" s="325"/>
      <c r="E38" s="325"/>
      <c r="F38" s="325"/>
      <c r="G38" s="325"/>
      <c r="H38" s="210">
        <f>SUM(H14:H37)</f>
        <v>10099734</v>
      </c>
    </row>
  </sheetData>
  <mergeCells count="16">
    <mergeCell ref="A10:H10"/>
    <mergeCell ref="A11:B11"/>
    <mergeCell ref="A12:B12"/>
    <mergeCell ref="A1:H1"/>
    <mergeCell ref="A8:G8"/>
    <mergeCell ref="A16:H16"/>
    <mergeCell ref="A31:H31"/>
    <mergeCell ref="A23:H23"/>
    <mergeCell ref="A13:H13"/>
    <mergeCell ref="A38:G38"/>
    <mergeCell ref="A24:A25"/>
    <mergeCell ref="A14:A15"/>
    <mergeCell ref="A17:A22"/>
    <mergeCell ref="A32:A37"/>
    <mergeCell ref="A27:A30"/>
    <mergeCell ref="A26:H26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4"/>
  <sheetViews>
    <sheetView view="pageBreakPreview" topLeftCell="A10" zoomScaleNormal="115" zoomScaleSheetLayoutView="100" workbookViewId="0">
      <selection activeCell="A32" sqref="A32:A37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8" width="15.7109375" style="32" customWidth="1"/>
    <col min="9" max="9" width="9.140625" style="28" customWidth="1"/>
    <col min="10" max="16384" width="9.140625" style="28"/>
  </cols>
  <sheetData>
    <row r="1" spans="1:8" x14ac:dyDescent="0.25">
      <c r="A1" s="385"/>
      <c r="B1" s="386"/>
      <c r="C1" s="386"/>
      <c r="D1" s="386"/>
      <c r="E1" s="386"/>
      <c r="F1" s="386"/>
      <c r="G1" s="386"/>
      <c r="H1" s="387"/>
    </row>
    <row r="2" spans="1:8" s="38" customFormat="1" ht="16.5" customHeight="1" x14ac:dyDescent="0.25">
      <c r="A2" s="358" t="s">
        <v>132</v>
      </c>
      <c r="B2" s="359"/>
      <c r="C2" s="359"/>
      <c r="D2" s="359"/>
      <c r="E2" s="359"/>
      <c r="F2" s="359"/>
      <c r="G2" s="359"/>
      <c r="H2" s="360"/>
    </row>
    <row r="3" spans="1:8" s="38" customFormat="1" x14ac:dyDescent="0.25">
      <c r="A3" s="355" t="s">
        <v>129</v>
      </c>
      <c r="B3" s="356"/>
      <c r="C3" s="356"/>
      <c r="D3" s="356"/>
      <c r="E3" s="356"/>
      <c r="F3" s="356"/>
      <c r="G3" s="356"/>
      <c r="H3" s="357"/>
    </row>
    <row r="4" spans="1:8" s="38" customFormat="1" ht="15" customHeight="1" x14ac:dyDescent="0.25">
      <c r="A4" s="40" t="s">
        <v>0</v>
      </c>
      <c r="B4" s="273" t="s">
        <v>1</v>
      </c>
      <c r="C4" s="392">
        <v>2024</v>
      </c>
      <c r="D4" s="392"/>
      <c r="E4" s="392"/>
      <c r="F4" s="392"/>
      <c r="G4" s="392"/>
      <c r="H4" s="393"/>
    </row>
    <row r="5" spans="1:8" s="38" customFormat="1" ht="45" customHeight="1" x14ac:dyDescent="0.25">
      <c r="A5" s="40" t="s">
        <v>2</v>
      </c>
      <c r="B5" s="273" t="s">
        <v>140</v>
      </c>
      <c r="C5" s="394" t="s">
        <v>268</v>
      </c>
      <c r="D5" s="394"/>
      <c r="E5" s="394"/>
      <c r="F5" s="394"/>
      <c r="G5" s="394"/>
      <c r="H5" s="395"/>
    </row>
    <row r="6" spans="1:8" s="38" customFormat="1" ht="15.75" customHeight="1" x14ac:dyDescent="0.25">
      <c r="A6" s="40" t="s">
        <v>3</v>
      </c>
      <c r="B6" s="273" t="s">
        <v>4</v>
      </c>
      <c r="C6" s="394" t="s">
        <v>284</v>
      </c>
      <c r="D6" s="394"/>
      <c r="E6" s="394"/>
      <c r="F6" s="394"/>
      <c r="G6" s="394"/>
      <c r="H6" s="395"/>
    </row>
    <row r="7" spans="1:8" s="38" customFormat="1" x14ac:dyDescent="0.25">
      <c r="A7" s="40" t="s">
        <v>5</v>
      </c>
      <c r="B7" s="273" t="s">
        <v>143</v>
      </c>
      <c r="C7" s="394">
        <v>12</v>
      </c>
      <c r="D7" s="394"/>
      <c r="E7" s="394"/>
      <c r="F7" s="394"/>
      <c r="G7" s="394"/>
      <c r="H7" s="395"/>
    </row>
    <row r="8" spans="1:8" s="38" customFormat="1" x14ac:dyDescent="0.25">
      <c r="A8" s="355" t="s">
        <v>6</v>
      </c>
      <c r="B8" s="356"/>
      <c r="C8" s="356"/>
      <c r="D8" s="356"/>
      <c r="E8" s="356"/>
      <c r="F8" s="356"/>
      <c r="G8" s="356"/>
      <c r="H8" s="357"/>
    </row>
    <row r="9" spans="1:8" s="38" customFormat="1" x14ac:dyDescent="0.25">
      <c r="A9" s="355" t="s">
        <v>7</v>
      </c>
      <c r="B9" s="356"/>
      <c r="C9" s="356"/>
      <c r="D9" s="356"/>
      <c r="E9" s="356"/>
      <c r="F9" s="356"/>
      <c r="G9" s="356"/>
      <c r="H9" s="357"/>
    </row>
    <row r="10" spans="1:8" s="38" customFormat="1" ht="15.75" customHeight="1" x14ac:dyDescent="0.25">
      <c r="A10" s="355" t="s">
        <v>8</v>
      </c>
      <c r="B10" s="356"/>
      <c r="C10" s="356"/>
      <c r="D10" s="356"/>
      <c r="E10" s="356"/>
      <c r="F10" s="356"/>
      <c r="G10" s="356"/>
      <c r="H10" s="357"/>
    </row>
    <row r="11" spans="1:8" s="38" customFormat="1" ht="30" customHeight="1" x14ac:dyDescent="0.25">
      <c r="A11" s="396" t="s">
        <v>9</v>
      </c>
      <c r="B11" s="397"/>
      <c r="C11" s="397"/>
      <c r="D11" s="397" t="s">
        <v>10</v>
      </c>
      <c r="E11" s="397"/>
      <c r="F11" s="397"/>
      <c r="G11" s="397"/>
      <c r="H11" s="398"/>
    </row>
    <row r="12" spans="1:8" s="38" customFormat="1" ht="30" customHeight="1" x14ac:dyDescent="0.25">
      <c r="A12" s="40">
        <v>1</v>
      </c>
      <c r="B12" s="272" t="s">
        <v>133</v>
      </c>
      <c r="C12" s="388" t="s">
        <v>269</v>
      </c>
      <c r="D12" s="388"/>
      <c r="E12" s="388"/>
      <c r="F12" s="388"/>
      <c r="G12" s="388"/>
      <c r="H12" s="389"/>
    </row>
    <row r="13" spans="1:8" s="38" customFormat="1" ht="30" customHeight="1" x14ac:dyDescent="0.25">
      <c r="A13" s="40">
        <v>2</v>
      </c>
      <c r="B13" s="272" t="s">
        <v>11</v>
      </c>
      <c r="C13" s="399">
        <v>3248.32</v>
      </c>
      <c r="D13" s="400"/>
      <c r="E13" s="401"/>
      <c r="F13" s="402">
        <v>3772.76</v>
      </c>
      <c r="G13" s="403"/>
      <c r="H13" s="404"/>
    </row>
    <row r="14" spans="1:8" s="38" customFormat="1" ht="15.75" customHeight="1" x14ac:dyDescent="0.25">
      <c r="A14" s="40">
        <v>3</v>
      </c>
      <c r="B14" s="272" t="s">
        <v>12</v>
      </c>
      <c r="C14" s="388" t="s">
        <v>272</v>
      </c>
      <c r="D14" s="388"/>
      <c r="E14" s="388"/>
      <c r="F14" s="388"/>
      <c r="G14" s="388"/>
      <c r="H14" s="389"/>
    </row>
    <row r="15" spans="1:8" s="38" customFormat="1" x14ac:dyDescent="0.25">
      <c r="A15" s="40">
        <v>4</v>
      </c>
      <c r="B15" s="211" t="s">
        <v>13</v>
      </c>
      <c r="C15" s="390">
        <v>2024</v>
      </c>
      <c r="D15" s="390"/>
      <c r="E15" s="390"/>
      <c r="F15" s="390"/>
      <c r="G15" s="390"/>
      <c r="H15" s="391"/>
    </row>
    <row r="16" spans="1:8" s="39" customFormat="1" ht="30" customHeight="1" x14ac:dyDescent="0.25">
      <c r="A16" s="353" t="s">
        <v>14</v>
      </c>
      <c r="B16" s="354"/>
      <c r="C16" s="354"/>
      <c r="D16" s="125" t="s">
        <v>266</v>
      </c>
      <c r="E16" s="125" t="s">
        <v>264</v>
      </c>
      <c r="F16" s="125" t="s">
        <v>267</v>
      </c>
      <c r="G16" s="125" t="s">
        <v>265</v>
      </c>
      <c r="H16" s="134" t="s">
        <v>263</v>
      </c>
    </row>
    <row r="17" spans="1:8" s="39" customFormat="1" x14ac:dyDescent="0.25">
      <c r="A17" s="274">
        <v>1</v>
      </c>
      <c r="B17" s="371" t="s">
        <v>15</v>
      </c>
      <c r="C17" s="371"/>
      <c r="D17" s="56" t="s">
        <v>10</v>
      </c>
      <c r="E17" s="56" t="s">
        <v>10</v>
      </c>
      <c r="F17" s="56" t="s">
        <v>10</v>
      </c>
      <c r="G17" s="56" t="s">
        <v>10</v>
      </c>
      <c r="H17" s="57" t="s">
        <v>10</v>
      </c>
    </row>
    <row r="18" spans="1:8" s="38" customFormat="1" ht="15.75" customHeight="1" x14ac:dyDescent="0.25">
      <c r="A18" s="44" t="s">
        <v>0</v>
      </c>
      <c r="B18" s="223" t="s">
        <v>16</v>
      </c>
      <c r="C18" s="211"/>
      <c r="D18" s="74">
        <f>C13</f>
        <v>3248.32</v>
      </c>
      <c r="E18" s="64">
        <f>F13</f>
        <v>3772.76</v>
      </c>
      <c r="F18" s="64">
        <f>F13</f>
        <v>3772.76</v>
      </c>
      <c r="G18" s="74">
        <f>C13</f>
        <v>3248.32</v>
      </c>
      <c r="H18" s="58">
        <f>C13</f>
        <v>3248.32</v>
      </c>
    </row>
    <row r="19" spans="1:8" s="38" customFormat="1" ht="15.75" customHeight="1" x14ac:dyDescent="0.25">
      <c r="A19" s="44" t="s">
        <v>2</v>
      </c>
      <c r="B19" s="223" t="s">
        <v>17</v>
      </c>
      <c r="C19" s="212"/>
      <c r="D19" s="213"/>
      <c r="E19" s="213"/>
      <c r="F19" s="213"/>
      <c r="G19" s="213"/>
      <c r="H19" s="214"/>
    </row>
    <row r="20" spans="1:8" s="38" customFormat="1" ht="15.75" customHeight="1" x14ac:dyDescent="0.25">
      <c r="A20" s="44" t="s">
        <v>3</v>
      </c>
      <c r="B20" s="223" t="s">
        <v>18</v>
      </c>
      <c r="C20" s="108" t="s">
        <v>242</v>
      </c>
      <c r="D20" s="72">
        <f>40%*1412</f>
        <v>564.79999999999995</v>
      </c>
      <c r="E20" s="72">
        <f>40%*1412</f>
        <v>564.79999999999995</v>
      </c>
      <c r="F20" s="72">
        <f>40%*1412</f>
        <v>564.79999999999995</v>
      </c>
      <c r="G20" s="72">
        <f>40%*1412</f>
        <v>564.79999999999995</v>
      </c>
      <c r="H20" s="135">
        <f>40%*1412</f>
        <v>564.79999999999995</v>
      </c>
    </row>
    <row r="21" spans="1:8" s="38" customFormat="1" ht="15.75" customHeight="1" x14ac:dyDescent="0.25">
      <c r="A21" s="44" t="s">
        <v>5</v>
      </c>
      <c r="B21" s="223" t="s">
        <v>19</v>
      </c>
      <c r="C21" s="212"/>
      <c r="D21" s="213"/>
      <c r="E21" s="213"/>
      <c r="F21" s="213"/>
      <c r="G21" s="213"/>
      <c r="H21" s="214"/>
    </row>
    <row r="22" spans="1:8" s="38" customFormat="1" ht="15.75" customHeight="1" x14ac:dyDescent="0.25">
      <c r="A22" s="44" t="s">
        <v>20</v>
      </c>
      <c r="B22" s="223" t="s">
        <v>204</v>
      </c>
      <c r="C22" s="212"/>
      <c r="D22" s="213"/>
      <c r="E22" s="213"/>
      <c r="F22" s="213"/>
      <c r="G22" s="213"/>
      <c r="H22" s="214"/>
    </row>
    <row r="23" spans="1:8" s="38" customFormat="1" x14ac:dyDescent="0.25">
      <c r="A23" s="44" t="s">
        <v>21</v>
      </c>
      <c r="B23" s="223" t="s">
        <v>138</v>
      </c>
      <c r="C23" s="108"/>
      <c r="D23" s="215"/>
      <c r="E23" s="215"/>
      <c r="F23" s="215"/>
      <c r="G23" s="215"/>
      <c r="H23" s="216"/>
    </row>
    <row r="24" spans="1:8" s="38" customFormat="1" ht="15.75" customHeight="1" x14ac:dyDescent="0.25">
      <c r="A24" s="44" t="s">
        <v>22</v>
      </c>
      <c r="B24" s="260" t="s">
        <v>139</v>
      </c>
      <c r="C24" s="108"/>
      <c r="D24" s="215"/>
      <c r="E24" s="215"/>
      <c r="F24" s="215"/>
      <c r="G24" s="215"/>
      <c r="H24" s="216"/>
    </row>
    <row r="25" spans="1:8" s="39" customFormat="1" ht="15.75" customHeight="1" x14ac:dyDescent="0.25">
      <c r="A25" s="349" t="s">
        <v>152</v>
      </c>
      <c r="B25" s="350"/>
      <c r="C25" s="350"/>
      <c r="D25" s="86">
        <f>SUM(D18:D24)</f>
        <v>3813.12</v>
      </c>
      <c r="E25" s="86">
        <f>SUM(E18:E24)</f>
        <v>4337.5600000000004</v>
      </c>
      <c r="F25" s="86">
        <f>SUM(F18:F24)</f>
        <v>4337.5600000000004</v>
      </c>
      <c r="G25" s="86">
        <f>SUM(G18:G24)</f>
        <v>3813.12</v>
      </c>
      <c r="H25" s="136">
        <f>SUM(H18:H24)</f>
        <v>3813.12</v>
      </c>
    </row>
    <row r="26" spans="1:8" s="39" customFormat="1" x14ac:dyDescent="0.25">
      <c r="A26" s="351" t="s">
        <v>51</v>
      </c>
      <c r="B26" s="352"/>
      <c r="C26" s="352"/>
      <c r="D26" s="279"/>
      <c r="E26" s="279"/>
      <c r="F26" s="279"/>
      <c r="G26" s="279"/>
      <c r="H26" s="280"/>
    </row>
    <row r="27" spans="1:8" s="38" customFormat="1" x14ac:dyDescent="0.25">
      <c r="A27" s="265">
        <v>2</v>
      </c>
      <c r="B27" s="372" t="s">
        <v>205</v>
      </c>
      <c r="C27" s="373"/>
      <c r="D27" s="68" t="s">
        <v>10</v>
      </c>
      <c r="E27" s="68" t="s">
        <v>10</v>
      </c>
      <c r="F27" s="68" t="s">
        <v>10</v>
      </c>
      <c r="G27" s="68" t="s">
        <v>10</v>
      </c>
      <c r="H27" s="129" t="s">
        <v>10</v>
      </c>
    </row>
    <row r="28" spans="1:8" s="38" customFormat="1" x14ac:dyDescent="0.25">
      <c r="A28" s="49" t="s">
        <v>0</v>
      </c>
      <c r="B28" s="67" t="s">
        <v>28</v>
      </c>
      <c r="C28" s="54">
        <f>1/12</f>
        <v>8.3299999999999999E-2</v>
      </c>
      <c r="D28" s="66">
        <f>(D25)*C28</f>
        <v>317.63</v>
      </c>
      <c r="E28" s="66">
        <f>(E25)*C28</f>
        <v>361.32</v>
      </c>
      <c r="F28" s="66">
        <f>(F25)*C28</f>
        <v>361.32</v>
      </c>
      <c r="G28" s="66">
        <f>(G25)*C28</f>
        <v>317.63</v>
      </c>
      <c r="H28" s="137">
        <f>(H25)*C28</f>
        <v>317.63</v>
      </c>
    </row>
    <row r="29" spans="1:8" s="38" customFormat="1" x14ac:dyDescent="0.25">
      <c r="A29" s="49" t="s">
        <v>2</v>
      </c>
      <c r="B29" s="67" t="s">
        <v>148</v>
      </c>
      <c r="C29" s="54">
        <v>0.1111</v>
      </c>
      <c r="D29" s="66">
        <f>D25*C29</f>
        <v>423.64</v>
      </c>
      <c r="E29" s="66">
        <f>E25*C29</f>
        <v>481.9</v>
      </c>
      <c r="F29" s="66">
        <f>F25*C29</f>
        <v>481.9</v>
      </c>
      <c r="G29" s="66">
        <f>G25*C29</f>
        <v>423.64</v>
      </c>
      <c r="H29" s="137">
        <f>H25*C29</f>
        <v>423.64</v>
      </c>
    </row>
    <row r="30" spans="1:8" x14ac:dyDescent="0.25">
      <c r="A30" s="369" t="s">
        <v>27</v>
      </c>
      <c r="B30" s="370"/>
      <c r="C30" s="91">
        <f t="shared" ref="C30" si="0">SUM(C28:C29)</f>
        <v>0.19439999999999999</v>
      </c>
      <c r="D30" s="78">
        <f>SUM(D28:D29)</f>
        <v>741.27</v>
      </c>
      <c r="E30" s="78">
        <f>SUM(E28:E29)</f>
        <v>843.22</v>
      </c>
      <c r="F30" s="78">
        <f>SUM(F28:F29)</f>
        <v>843.22</v>
      </c>
      <c r="G30" s="78">
        <f>SUM(G28:G29)</f>
        <v>741.27</v>
      </c>
      <c r="H30" s="138">
        <f>SUM(H28:H29)</f>
        <v>741.27</v>
      </c>
    </row>
    <row r="31" spans="1:8" ht="32.25" customHeight="1" x14ac:dyDescent="0.25">
      <c r="A31" s="366" t="s">
        <v>206</v>
      </c>
      <c r="B31" s="367"/>
      <c r="C31" s="367"/>
      <c r="D31" s="367"/>
      <c r="E31" s="367"/>
      <c r="F31" s="367"/>
      <c r="G31" s="367"/>
      <c r="H31" s="368"/>
    </row>
    <row r="32" spans="1:8" x14ac:dyDescent="0.25">
      <c r="A32" s="263" t="s">
        <v>215</v>
      </c>
      <c r="B32" s="364" t="s">
        <v>25</v>
      </c>
      <c r="C32" s="365"/>
      <c r="D32" s="276"/>
      <c r="E32" s="276"/>
      <c r="F32" s="276"/>
      <c r="G32" s="276"/>
      <c r="H32" s="217"/>
    </row>
    <row r="33" spans="1:8" x14ac:dyDescent="0.25">
      <c r="A33" s="49" t="s">
        <v>0</v>
      </c>
      <c r="B33" s="80" t="s">
        <v>207</v>
      </c>
      <c r="C33" s="54">
        <v>0.2</v>
      </c>
      <c r="D33" s="66">
        <f t="shared" ref="D33:D40" si="1">($D$25+D$30)*C33</f>
        <v>910.88</v>
      </c>
      <c r="E33" s="66">
        <f t="shared" ref="E33:E40" si="2">($E$25+E$30)*C33</f>
        <v>1036.1600000000001</v>
      </c>
      <c r="F33" s="66">
        <f t="shared" ref="F33:F40" si="3">($F$25+F$30)*C33</f>
        <v>1036.1600000000001</v>
      </c>
      <c r="G33" s="66">
        <f t="shared" ref="G33:G40" si="4">($G$25+G$30)*C33</f>
        <v>910.88</v>
      </c>
      <c r="H33" s="137">
        <f t="shared" ref="H33:H40" si="5">($H$25+H$30)*C33</f>
        <v>910.88</v>
      </c>
    </row>
    <row r="34" spans="1:8" x14ac:dyDescent="0.25">
      <c r="A34" s="49" t="s">
        <v>2</v>
      </c>
      <c r="B34" s="80" t="s">
        <v>208</v>
      </c>
      <c r="C34" s="81">
        <v>1.4999999999999999E-2</v>
      </c>
      <c r="D34" s="66">
        <f t="shared" si="1"/>
        <v>68.319999999999993</v>
      </c>
      <c r="E34" s="66">
        <f t="shared" si="2"/>
        <v>77.709999999999994</v>
      </c>
      <c r="F34" s="66">
        <f t="shared" si="3"/>
        <v>77.709999999999994</v>
      </c>
      <c r="G34" s="66">
        <f t="shared" si="4"/>
        <v>68.319999999999993</v>
      </c>
      <c r="H34" s="137">
        <f t="shared" si="5"/>
        <v>68.319999999999993</v>
      </c>
    </row>
    <row r="35" spans="1:8" x14ac:dyDescent="0.25">
      <c r="A35" s="49" t="s">
        <v>3</v>
      </c>
      <c r="B35" s="80" t="s">
        <v>209</v>
      </c>
      <c r="C35" s="81">
        <v>0.01</v>
      </c>
      <c r="D35" s="66">
        <f t="shared" si="1"/>
        <v>45.54</v>
      </c>
      <c r="E35" s="66">
        <f t="shared" si="2"/>
        <v>51.81</v>
      </c>
      <c r="F35" s="66">
        <f t="shared" si="3"/>
        <v>51.81</v>
      </c>
      <c r="G35" s="66">
        <f t="shared" si="4"/>
        <v>45.54</v>
      </c>
      <c r="H35" s="137">
        <f t="shared" si="5"/>
        <v>45.54</v>
      </c>
    </row>
    <row r="36" spans="1:8" ht="31.5" x14ac:dyDescent="0.25">
      <c r="A36" s="49" t="s">
        <v>5</v>
      </c>
      <c r="B36" s="262" t="s">
        <v>210</v>
      </c>
      <c r="C36" s="81">
        <v>2E-3</v>
      </c>
      <c r="D36" s="66">
        <f t="shared" si="1"/>
        <v>9.11</v>
      </c>
      <c r="E36" s="66">
        <f t="shared" si="2"/>
        <v>10.36</v>
      </c>
      <c r="F36" s="66">
        <f t="shared" si="3"/>
        <v>10.36</v>
      </c>
      <c r="G36" s="66">
        <f t="shared" si="4"/>
        <v>9.11</v>
      </c>
      <c r="H36" s="137">
        <f t="shared" si="5"/>
        <v>9.11</v>
      </c>
    </row>
    <row r="37" spans="1:8" x14ac:dyDescent="0.25">
      <c r="A37" s="49" t="s">
        <v>20</v>
      </c>
      <c r="B37" s="80" t="s">
        <v>211</v>
      </c>
      <c r="C37" s="81">
        <v>2.5000000000000001E-2</v>
      </c>
      <c r="D37" s="66">
        <f t="shared" si="1"/>
        <v>113.86</v>
      </c>
      <c r="E37" s="66">
        <f t="shared" si="2"/>
        <v>129.52000000000001</v>
      </c>
      <c r="F37" s="66">
        <f t="shared" si="3"/>
        <v>129.52000000000001</v>
      </c>
      <c r="G37" s="66">
        <f t="shared" si="4"/>
        <v>113.86</v>
      </c>
      <c r="H37" s="137">
        <f t="shared" si="5"/>
        <v>113.86</v>
      </c>
    </row>
    <row r="38" spans="1:8" x14ac:dyDescent="0.25">
      <c r="A38" s="49" t="s">
        <v>21</v>
      </c>
      <c r="B38" s="107" t="s">
        <v>212</v>
      </c>
      <c r="C38" s="81">
        <v>0.08</v>
      </c>
      <c r="D38" s="66">
        <f t="shared" si="1"/>
        <v>364.35</v>
      </c>
      <c r="E38" s="66">
        <f t="shared" si="2"/>
        <v>414.46</v>
      </c>
      <c r="F38" s="66">
        <f t="shared" si="3"/>
        <v>414.46</v>
      </c>
      <c r="G38" s="66">
        <f t="shared" si="4"/>
        <v>364.35</v>
      </c>
      <c r="H38" s="137">
        <f t="shared" si="5"/>
        <v>364.35</v>
      </c>
    </row>
    <row r="39" spans="1:8" ht="30.75" customHeight="1" x14ac:dyDescent="0.25">
      <c r="A39" s="49" t="s">
        <v>22</v>
      </c>
      <c r="B39" s="262" t="s">
        <v>213</v>
      </c>
      <c r="C39" s="81">
        <v>0.03</v>
      </c>
      <c r="D39" s="66">
        <f t="shared" si="1"/>
        <v>136.63</v>
      </c>
      <c r="E39" s="66">
        <f t="shared" si="2"/>
        <v>155.41999999999999</v>
      </c>
      <c r="F39" s="66">
        <f t="shared" si="3"/>
        <v>155.41999999999999</v>
      </c>
      <c r="G39" s="66">
        <f t="shared" si="4"/>
        <v>136.63</v>
      </c>
      <c r="H39" s="137">
        <f t="shared" si="5"/>
        <v>136.63</v>
      </c>
    </row>
    <row r="40" spans="1:8" x14ac:dyDescent="0.25">
      <c r="A40" s="49" t="s">
        <v>26</v>
      </c>
      <c r="B40" s="106" t="s">
        <v>214</v>
      </c>
      <c r="C40" s="81">
        <v>6.0000000000000001E-3</v>
      </c>
      <c r="D40" s="66">
        <f t="shared" si="1"/>
        <v>27.33</v>
      </c>
      <c r="E40" s="66">
        <f t="shared" si="2"/>
        <v>31.08</v>
      </c>
      <c r="F40" s="66">
        <f t="shared" si="3"/>
        <v>31.08</v>
      </c>
      <c r="G40" s="66">
        <f t="shared" si="4"/>
        <v>27.33</v>
      </c>
      <c r="H40" s="137">
        <f t="shared" si="5"/>
        <v>27.33</v>
      </c>
    </row>
    <row r="41" spans="1:8" s="30" customFormat="1" x14ac:dyDescent="0.25">
      <c r="A41" s="369" t="s">
        <v>27</v>
      </c>
      <c r="B41" s="370"/>
      <c r="C41" s="55">
        <f t="shared" ref="C41" si="6">SUM(C33:C40)</f>
        <v>0.36799999999999999</v>
      </c>
      <c r="D41" s="82">
        <f>SUM(D33:D40)</f>
        <v>1676.02</v>
      </c>
      <c r="E41" s="82">
        <f>SUM(E33:E40)</f>
        <v>1906.52</v>
      </c>
      <c r="F41" s="82">
        <f>SUM(F33:F40)</f>
        <v>1906.52</v>
      </c>
      <c r="G41" s="82">
        <f>SUM(G33:G40)</f>
        <v>1676.02</v>
      </c>
      <c r="H41" s="139">
        <f>SUM(H33:H40)</f>
        <v>1676.02</v>
      </c>
    </row>
    <row r="42" spans="1:8" s="30" customFormat="1" x14ac:dyDescent="0.25">
      <c r="A42" s="219" t="s">
        <v>216</v>
      </c>
      <c r="B42" s="379" t="s">
        <v>217</v>
      </c>
      <c r="C42" s="380"/>
      <c r="D42" s="277"/>
      <c r="E42" s="277"/>
      <c r="F42" s="104"/>
      <c r="G42" s="277"/>
      <c r="H42" s="288"/>
    </row>
    <row r="43" spans="1:8" s="30" customFormat="1" x14ac:dyDescent="0.25">
      <c r="A43" s="90" t="s">
        <v>0</v>
      </c>
      <c r="B43" s="222" t="s">
        <v>144</v>
      </c>
      <c r="C43" s="105"/>
      <c r="D43" s="76">
        <v>0</v>
      </c>
      <c r="E43" s="76">
        <v>0</v>
      </c>
      <c r="F43" s="76">
        <v>0</v>
      </c>
      <c r="G43" s="76">
        <v>0</v>
      </c>
      <c r="H43" s="59">
        <v>0</v>
      </c>
    </row>
    <row r="44" spans="1:8" s="30" customFormat="1" x14ac:dyDescent="0.25">
      <c r="A44" s="47" t="s">
        <v>2</v>
      </c>
      <c r="B44" s="260" t="s">
        <v>218</v>
      </c>
      <c r="C44" s="72">
        <v>581.85</v>
      </c>
      <c r="D44" s="74">
        <f>C44-(C44*0.99%)</f>
        <v>576.09</v>
      </c>
      <c r="E44" s="74">
        <f>C44-(C44*0.99%)</f>
        <v>576.09</v>
      </c>
      <c r="F44" s="74">
        <f>C44-(C44*0.99%)</f>
        <v>576.09</v>
      </c>
      <c r="G44" s="74">
        <f>C44-(C44*0.99%)</f>
        <v>576.09</v>
      </c>
      <c r="H44" s="58">
        <f>C44-(C44*0.99%)</f>
        <v>576.09</v>
      </c>
    </row>
    <row r="45" spans="1:8" s="30" customFormat="1" x14ac:dyDescent="0.25">
      <c r="A45" s="49" t="s">
        <v>5</v>
      </c>
      <c r="B45" s="268" t="s">
        <v>134</v>
      </c>
      <c r="C45" s="83"/>
      <c r="D45" s="84">
        <v>0</v>
      </c>
      <c r="E45" s="84">
        <v>0</v>
      </c>
      <c r="F45" s="84">
        <v>0</v>
      </c>
      <c r="G45" s="84">
        <v>0</v>
      </c>
      <c r="H45" s="63">
        <v>0</v>
      </c>
    </row>
    <row r="46" spans="1:8" s="30" customFormat="1" x14ac:dyDescent="0.25">
      <c r="A46" s="49" t="s">
        <v>20</v>
      </c>
      <c r="B46" s="268" t="s">
        <v>135</v>
      </c>
      <c r="C46" s="54">
        <v>0.5</v>
      </c>
      <c r="D46" s="84">
        <f>D18*C46*0.0199*2/12</f>
        <v>5.39</v>
      </c>
      <c r="E46" s="84">
        <f>E18*C46*0.0199*2/12</f>
        <v>6.26</v>
      </c>
      <c r="F46" s="84">
        <f>F18*C46*0.0199*2/12</f>
        <v>6.26</v>
      </c>
      <c r="G46" s="84">
        <f>G18*C46*0.0199*2/12</f>
        <v>5.39</v>
      </c>
      <c r="H46" s="63">
        <f>H18*C46*0.0199*2/12</f>
        <v>5.39</v>
      </c>
    </row>
    <row r="47" spans="1:8" s="30" customFormat="1" x14ac:dyDescent="0.25">
      <c r="A47" s="49" t="s">
        <v>21</v>
      </c>
      <c r="B47" s="268" t="s">
        <v>136</v>
      </c>
      <c r="C47" s="66">
        <v>34733.21</v>
      </c>
      <c r="D47" s="77">
        <f>(C47*0.5%)/12</f>
        <v>14.47</v>
      </c>
      <c r="E47" s="77">
        <f>(C47*0.5%)/12</f>
        <v>14.47</v>
      </c>
      <c r="F47" s="77">
        <f>(C47*0.5%)/12</f>
        <v>14.47</v>
      </c>
      <c r="G47" s="77">
        <f>(C47*0.5%)/12</f>
        <v>14.47</v>
      </c>
      <c r="H47" s="61">
        <f>(C47*0.5%)/12</f>
        <v>14.47</v>
      </c>
    </row>
    <row r="48" spans="1:8" s="30" customFormat="1" ht="15.75" customHeight="1" x14ac:dyDescent="0.25">
      <c r="A48" s="369" t="s">
        <v>23</v>
      </c>
      <c r="B48" s="370"/>
      <c r="C48" s="370"/>
      <c r="D48" s="85">
        <f>SUM(D43:D47)</f>
        <v>595.95000000000005</v>
      </c>
      <c r="E48" s="85">
        <f>SUM(E43:E47)</f>
        <v>596.82000000000005</v>
      </c>
      <c r="F48" s="85">
        <f>SUM(F43:F47)</f>
        <v>596.82000000000005</v>
      </c>
      <c r="G48" s="85">
        <f>SUM(G43:G47)</f>
        <v>595.95000000000005</v>
      </c>
      <c r="H48" s="141">
        <f>SUM(H43:H47)</f>
        <v>595.95000000000005</v>
      </c>
    </row>
    <row r="49" spans="1:8" s="30" customFormat="1" ht="15.75" customHeight="1" x14ac:dyDescent="0.25">
      <c r="A49" s="351" t="s">
        <v>151</v>
      </c>
      <c r="B49" s="352"/>
      <c r="C49" s="352"/>
      <c r="D49" s="279"/>
      <c r="E49" s="279"/>
      <c r="F49" s="279"/>
      <c r="G49" s="279"/>
      <c r="H49" s="280"/>
    </row>
    <row r="50" spans="1:8" s="30" customFormat="1" ht="15.75" customHeight="1" x14ac:dyDescent="0.25">
      <c r="A50" s="274" t="s">
        <v>141</v>
      </c>
      <c r="B50" s="102" t="s">
        <v>145</v>
      </c>
      <c r="C50" s="275"/>
      <c r="D50" s="56">
        <f>D30</f>
        <v>741.27</v>
      </c>
      <c r="E50" s="56">
        <f>E30</f>
        <v>843.22</v>
      </c>
      <c r="F50" s="56">
        <f>F30</f>
        <v>843.22</v>
      </c>
      <c r="G50" s="56">
        <f>G30</f>
        <v>741.27</v>
      </c>
      <c r="H50" s="57">
        <f>H30</f>
        <v>741.27</v>
      </c>
    </row>
    <row r="51" spans="1:8" s="30" customFormat="1" ht="15.75" customHeight="1" x14ac:dyDescent="0.25">
      <c r="A51" s="274" t="s">
        <v>215</v>
      </c>
      <c r="B51" s="102" t="s">
        <v>146</v>
      </c>
      <c r="C51" s="275"/>
      <c r="D51" s="56">
        <f>D41</f>
        <v>1676.02</v>
      </c>
      <c r="E51" s="56">
        <f>E41</f>
        <v>1906.52</v>
      </c>
      <c r="F51" s="56">
        <f>F41</f>
        <v>1906.52</v>
      </c>
      <c r="G51" s="56">
        <f>G41</f>
        <v>1676.02</v>
      </c>
      <c r="H51" s="57">
        <f>H41</f>
        <v>1676.02</v>
      </c>
    </row>
    <row r="52" spans="1:8" s="30" customFormat="1" ht="15.75" customHeight="1" x14ac:dyDescent="0.25">
      <c r="A52" s="274" t="s">
        <v>216</v>
      </c>
      <c r="B52" s="102" t="s">
        <v>147</v>
      </c>
      <c r="C52" s="275"/>
      <c r="D52" s="56">
        <f>D48</f>
        <v>595.95000000000005</v>
      </c>
      <c r="E52" s="56">
        <f>E48</f>
        <v>596.82000000000005</v>
      </c>
      <c r="F52" s="56">
        <f>F48</f>
        <v>596.82000000000005</v>
      </c>
      <c r="G52" s="56">
        <f>G48</f>
        <v>595.95000000000005</v>
      </c>
      <c r="H52" s="57">
        <f>H48</f>
        <v>595.95000000000005</v>
      </c>
    </row>
    <row r="53" spans="1:8" s="30" customFormat="1" ht="15.75" customHeight="1" x14ac:dyDescent="0.25">
      <c r="A53" s="349" t="s">
        <v>153</v>
      </c>
      <c r="B53" s="350"/>
      <c r="C53" s="350"/>
      <c r="D53" s="86">
        <f>SUM(D50:D52)</f>
        <v>3013.24</v>
      </c>
      <c r="E53" s="86">
        <f>SUM(E50:E52)</f>
        <v>3346.56</v>
      </c>
      <c r="F53" s="86">
        <f>SUM(F50:F52)</f>
        <v>3346.56</v>
      </c>
      <c r="G53" s="86">
        <f>SUM(G50:G52)</f>
        <v>3013.24</v>
      </c>
      <c r="H53" s="136">
        <f>SUM(H50:H52)</f>
        <v>3013.24</v>
      </c>
    </row>
    <row r="54" spans="1:8" s="30" customFormat="1" ht="15.75" customHeight="1" x14ac:dyDescent="0.25">
      <c r="A54" s="351" t="s">
        <v>162</v>
      </c>
      <c r="B54" s="352"/>
      <c r="C54" s="352"/>
      <c r="D54" s="279"/>
      <c r="E54" s="279"/>
      <c r="F54" s="279"/>
      <c r="G54" s="279"/>
      <c r="H54" s="280"/>
    </row>
    <row r="55" spans="1:8" s="30" customFormat="1" ht="15.75" customHeight="1" x14ac:dyDescent="0.25">
      <c r="A55" s="265" t="s">
        <v>200</v>
      </c>
      <c r="B55" s="345" t="s">
        <v>32</v>
      </c>
      <c r="C55" s="346"/>
      <c r="D55" s="68" t="s">
        <v>10</v>
      </c>
      <c r="E55" s="68" t="s">
        <v>10</v>
      </c>
      <c r="F55" s="68" t="s">
        <v>10</v>
      </c>
      <c r="G55" s="68" t="s">
        <v>10</v>
      </c>
      <c r="H55" s="129" t="s">
        <v>10</v>
      </c>
    </row>
    <row r="56" spans="1:8" s="30" customFormat="1" ht="15.75" customHeight="1" x14ac:dyDescent="0.25">
      <c r="A56" s="49" t="s">
        <v>0</v>
      </c>
      <c r="B56" s="268" t="s">
        <v>33</v>
      </c>
      <c r="C56" s="54">
        <v>4.5999999999999999E-3</v>
      </c>
      <c r="D56" s="66">
        <f>D$25*C56</f>
        <v>17.54</v>
      </c>
      <c r="E56" s="66">
        <f>E$25*C56</f>
        <v>19.95</v>
      </c>
      <c r="F56" s="66">
        <f>F$25*C56</f>
        <v>19.95</v>
      </c>
      <c r="G56" s="66">
        <f>G$25*C56</f>
        <v>17.54</v>
      </c>
      <c r="H56" s="137">
        <f>H$25*C56</f>
        <v>17.54</v>
      </c>
    </row>
    <row r="57" spans="1:8" s="30" customFormat="1" ht="15.75" customHeight="1" x14ac:dyDescent="0.25">
      <c r="A57" s="49" t="s">
        <v>2</v>
      </c>
      <c r="B57" s="268" t="s">
        <v>34</v>
      </c>
      <c r="C57" s="54">
        <v>4.0000000000000002E-4</v>
      </c>
      <c r="D57" s="66">
        <f>D$25*C57</f>
        <v>1.53</v>
      </c>
      <c r="E57" s="66">
        <f>E$25*C57</f>
        <v>1.74</v>
      </c>
      <c r="F57" s="66">
        <f>F$25*C57</f>
        <v>1.74</v>
      </c>
      <c r="G57" s="66">
        <f>G$25*C57</f>
        <v>1.53</v>
      </c>
      <c r="H57" s="137">
        <f>H$25*C57</f>
        <v>1.53</v>
      </c>
    </row>
    <row r="58" spans="1:8" s="30" customFormat="1" ht="15.75" customHeight="1" x14ac:dyDescent="0.25">
      <c r="A58" s="49" t="s">
        <v>3</v>
      </c>
      <c r="B58" s="268" t="s">
        <v>35</v>
      </c>
      <c r="C58" s="54">
        <v>1.9400000000000001E-2</v>
      </c>
      <c r="D58" s="66">
        <f>D$25*C58</f>
        <v>73.97</v>
      </c>
      <c r="E58" s="66">
        <f>E$25*C58</f>
        <v>84.15</v>
      </c>
      <c r="F58" s="66">
        <f>F$25*C58</f>
        <v>84.15</v>
      </c>
      <c r="G58" s="66">
        <f>G$25*C58</f>
        <v>73.97</v>
      </c>
      <c r="H58" s="137">
        <f>H$25*C58</f>
        <v>73.97</v>
      </c>
    </row>
    <row r="59" spans="1:8" s="30" customFormat="1" ht="15.75" customHeight="1" x14ac:dyDescent="0.25">
      <c r="A59" s="49" t="s">
        <v>5</v>
      </c>
      <c r="B59" s="262" t="s">
        <v>174</v>
      </c>
      <c r="C59" s="54">
        <v>7.1000000000000004E-3</v>
      </c>
      <c r="D59" s="66">
        <f>D$25*C59</f>
        <v>27.07</v>
      </c>
      <c r="E59" s="66">
        <f>E$25*C59</f>
        <v>30.8</v>
      </c>
      <c r="F59" s="66">
        <f>F$25*C59</f>
        <v>30.8</v>
      </c>
      <c r="G59" s="66">
        <f>G$25*C59</f>
        <v>27.07</v>
      </c>
      <c r="H59" s="137">
        <f>H$25*C59</f>
        <v>27.07</v>
      </c>
    </row>
    <row r="60" spans="1:8" s="30" customFormat="1" ht="32.25" customHeight="1" x14ac:dyDescent="0.25">
      <c r="A60" s="49" t="s">
        <v>20</v>
      </c>
      <c r="B60" s="268" t="s">
        <v>219</v>
      </c>
      <c r="C60" s="54">
        <v>0.04</v>
      </c>
      <c r="D60" s="66">
        <f>D$25*C60</f>
        <v>152.52000000000001</v>
      </c>
      <c r="E60" s="66">
        <f>E$25*C60</f>
        <v>173.5</v>
      </c>
      <c r="F60" s="66">
        <f>F$25*C60</f>
        <v>173.5</v>
      </c>
      <c r="G60" s="66">
        <f>G$25*C60</f>
        <v>152.52000000000001</v>
      </c>
      <c r="H60" s="137">
        <f>H$25*C60</f>
        <v>152.52000000000001</v>
      </c>
    </row>
    <row r="61" spans="1:8" s="30" customFormat="1" x14ac:dyDescent="0.25">
      <c r="A61" s="349" t="s">
        <v>154</v>
      </c>
      <c r="B61" s="350"/>
      <c r="C61" s="350"/>
      <c r="D61" s="86">
        <f>SUM(D56:D60)</f>
        <v>272.63</v>
      </c>
      <c r="E61" s="86">
        <f>SUM(E56:E60)</f>
        <v>310.14</v>
      </c>
      <c r="F61" s="86">
        <f>SUM(F56:F60)</f>
        <v>310.14</v>
      </c>
      <c r="G61" s="86">
        <f>SUM(G56:G60)</f>
        <v>272.63</v>
      </c>
      <c r="H61" s="136">
        <f>SUM(H56:H60)</f>
        <v>272.63</v>
      </c>
    </row>
    <row r="62" spans="1:8" s="30" customFormat="1" x14ac:dyDescent="0.25">
      <c r="A62" s="351" t="s">
        <v>163</v>
      </c>
      <c r="B62" s="352"/>
      <c r="C62" s="352"/>
      <c r="D62" s="279"/>
      <c r="E62" s="279"/>
      <c r="F62" s="279"/>
      <c r="G62" s="279"/>
      <c r="H62" s="280"/>
    </row>
    <row r="63" spans="1:8" s="30" customFormat="1" x14ac:dyDescent="0.25">
      <c r="A63" s="265" t="s">
        <v>199</v>
      </c>
      <c r="B63" s="382" t="s">
        <v>36</v>
      </c>
      <c r="C63" s="382"/>
      <c r="D63" s="68" t="s">
        <v>10</v>
      </c>
      <c r="E63" s="68" t="s">
        <v>10</v>
      </c>
      <c r="F63" s="68" t="s">
        <v>10</v>
      </c>
      <c r="G63" s="68" t="s">
        <v>10</v>
      </c>
      <c r="H63" s="129" t="s">
        <v>10</v>
      </c>
    </row>
    <row r="64" spans="1:8" s="30" customFormat="1" x14ac:dyDescent="0.25">
      <c r="A64" s="49" t="s">
        <v>0</v>
      </c>
      <c r="B64" s="268" t="s">
        <v>192</v>
      </c>
      <c r="C64" s="54">
        <f>C29/12</f>
        <v>9.2999999999999992E-3</v>
      </c>
      <c r="D64" s="66">
        <f t="shared" ref="D64:D69" si="7">(D$25+D$53+D$61+D$84)*C64</f>
        <v>66.36</v>
      </c>
      <c r="E64" s="66">
        <f t="shared" ref="E64:E69" si="8">(E$25+E$53+E$61+E$84)*C64</f>
        <v>74.69</v>
      </c>
      <c r="F64" s="66">
        <f t="shared" ref="F64:F69" si="9">(F$25+F$53+F$61+F$84)*C64</f>
        <v>74.69</v>
      </c>
      <c r="G64" s="66">
        <f t="shared" ref="G64:G69" si="10">(G$25+G$53+G$61+G$84)*C64</f>
        <v>66.36</v>
      </c>
      <c r="H64" s="137">
        <f t="shared" ref="H64:H69" si="11">(H$25+H$53+H$61+H$84)*C64</f>
        <v>66.36</v>
      </c>
    </row>
    <row r="65" spans="1:8" s="30" customFormat="1" x14ac:dyDescent="0.25">
      <c r="A65" s="49" t="s">
        <v>2</v>
      </c>
      <c r="B65" s="268" t="s">
        <v>193</v>
      </c>
      <c r="C65" s="54">
        <v>1.66E-2</v>
      </c>
      <c r="D65" s="66">
        <f t="shared" si="7"/>
        <v>118.45</v>
      </c>
      <c r="E65" s="66">
        <f t="shared" si="8"/>
        <v>133.31</v>
      </c>
      <c r="F65" s="66">
        <f t="shared" si="9"/>
        <v>133.31</v>
      </c>
      <c r="G65" s="66">
        <f t="shared" si="10"/>
        <v>118.45</v>
      </c>
      <c r="H65" s="137">
        <f t="shared" si="11"/>
        <v>118.45</v>
      </c>
    </row>
    <row r="66" spans="1:8" s="30" customFormat="1" x14ac:dyDescent="0.25">
      <c r="A66" s="49" t="s">
        <v>3</v>
      </c>
      <c r="B66" s="268" t="s">
        <v>194</v>
      </c>
      <c r="C66" s="54">
        <v>2.0000000000000001E-4</v>
      </c>
      <c r="D66" s="66">
        <f t="shared" si="7"/>
        <v>1.43</v>
      </c>
      <c r="E66" s="66">
        <f t="shared" si="8"/>
        <v>1.61</v>
      </c>
      <c r="F66" s="66">
        <f t="shared" si="9"/>
        <v>1.61</v>
      </c>
      <c r="G66" s="66">
        <f t="shared" si="10"/>
        <v>1.43</v>
      </c>
      <c r="H66" s="137">
        <f t="shared" si="11"/>
        <v>1.43</v>
      </c>
    </row>
    <row r="67" spans="1:8" s="30" customFormat="1" x14ac:dyDescent="0.25">
      <c r="A67" s="49" t="s">
        <v>5</v>
      </c>
      <c r="B67" s="268" t="s">
        <v>195</v>
      </c>
      <c r="C67" s="54">
        <v>2.7000000000000001E-3</v>
      </c>
      <c r="D67" s="66">
        <f t="shared" si="7"/>
        <v>19.27</v>
      </c>
      <c r="E67" s="66">
        <f t="shared" si="8"/>
        <v>21.68</v>
      </c>
      <c r="F67" s="66">
        <f t="shared" si="9"/>
        <v>21.68</v>
      </c>
      <c r="G67" s="66">
        <f t="shared" si="10"/>
        <v>19.27</v>
      </c>
      <c r="H67" s="137">
        <f t="shared" si="11"/>
        <v>19.27</v>
      </c>
    </row>
    <row r="68" spans="1:8" s="30" customFormat="1" x14ac:dyDescent="0.25">
      <c r="A68" s="49" t="s">
        <v>20</v>
      </c>
      <c r="B68" s="268" t="s">
        <v>196</v>
      </c>
      <c r="C68" s="54">
        <v>2.9999999999999997E-4</v>
      </c>
      <c r="D68" s="66">
        <f t="shared" si="7"/>
        <v>2.14</v>
      </c>
      <c r="E68" s="66">
        <f t="shared" si="8"/>
        <v>2.41</v>
      </c>
      <c r="F68" s="66">
        <f t="shared" si="9"/>
        <v>2.41</v>
      </c>
      <c r="G68" s="66">
        <f t="shared" si="10"/>
        <v>2.14</v>
      </c>
      <c r="H68" s="137">
        <f t="shared" si="11"/>
        <v>2.14</v>
      </c>
    </row>
    <row r="69" spans="1:8" s="30" customFormat="1" ht="15.75" customHeight="1" x14ac:dyDescent="0.25">
      <c r="A69" s="49" t="s">
        <v>21</v>
      </c>
      <c r="B69" s="268" t="s">
        <v>197</v>
      </c>
      <c r="C69" s="54">
        <v>0</v>
      </c>
      <c r="D69" s="66">
        <f t="shared" si="7"/>
        <v>0</v>
      </c>
      <c r="E69" s="66">
        <f t="shared" si="8"/>
        <v>0</v>
      </c>
      <c r="F69" s="66">
        <f t="shared" si="9"/>
        <v>0</v>
      </c>
      <c r="G69" s="66">
        <f t="shared" si="10"/>
        <v>0</v>
      </c>
      <c r="H69" s="137">
        <f t="shared" si="11"/>
        <v>0</v>
      </c>
    </row>
    <row r="70" spans="1:8" s="30" customFormat="1" x14ac:dyDescent="0.25">
      <c r="A70" s="369" t="s">
        <v>29</v>
      </c>
      <c r="B70" s="370"/>
      <c r="C70" s="55">
        <f t="shared" ref="C70" si="12">SUM(C64:C69)</f>
        <v>2.9100000000000001E-2</v>
      </c>
      <c r="D70" s="82">
        <f>SUM(D64:D69)</f>
        <v>207.65</v>
      </c>
      <c r="E70" s="82">
        <f>SUM(E64:E69)</f>
        <v>233.7</v>
      </c>
      <c r="F70" s="82">
        <f>SUM(F64:F69)</f>
        <v>233.7</v>
      </c>
      <c r="G70" s="82">
        <f>SUM(G64:G69)</f>
        <v>207.65</v>
      </c>
      <c r="H70" s="139">
        <f>SUM(H64:H69)</f>
        <v>207.65</v>
      </c>
    </row>
    <row r="71" spans="1:8" s="30" customFormat="1" x14ac:dyDescent="0.25">
      <c r="A71" s="274"/>
      <c r="B71" s="275"/>
      <c r="C71" s="92"/>
      <c r="D71" s="64"/>
      <c r="E71" s="92"/>
      <c r="F71" s="64"/>
      <c r="G71" s="92"/>
      <c r="H71" s="289"/>
    </row>
    <row r="72" spans="1:8" s="30" customFormat="1" x14ac:dyDescent="0.25">
      <c r="A72" s="274"/>
      <c r="B72" s="371" t="s">
        <v>201</v>
      </c>
      <c r="C72" s="381"/>
      <c r="D72" s="68" t="s">
        <v>10</v>
      </c>
      <c r="E72" s="68" t="s">
        <v>10</v>
      </c>
      <c r="F72" s="68" t="s">
        <v>10</v>
      </c>
      <c r="G72" s="68" t="s">
        <v>10</v>
      </c>
      <c r="H72" s="129" t="s">
        <v>10</v>
      </c>
    </row>
    <row r="73" spans="1:8" s="30" customFormat="1" x14ac:dyDescent="0.25">
      <c r="A73" s="47" t="s">
        <v>0</v>
      </c>
      <c r="B73" s="260" t="s">
        <v>202</v>
      </c>
      <c r="C73" s="92">
        <v>0</v>
      </c>
      <c r="D73" s="64">
        <f>$C$24*C73</f>
        <v>0</v>
      </c>
      <c r="E73" s="64">
        <f>$C$24*C73</f>
        <v>0</v>
      </c>
      <c r="F73" s="64">
        <f>$C$24*C73</f>
        <v>0</v>
      </c>
      <c r="G73" s="64">
        <f>$C$24*C73</f>
        <v>0</v>
      </c>
      <c r="H73" s="142">
        <f>$C$24*C73</f>
        <v>0</v>
      </c>
    </row>
    <row r="74" spans="1:8" s="30" customFormat="1" ht="15.75" customHeight="1" x14ac:dyDescent="0.25">
      <c r="A74" s="369" t="s">
        <v>27</v>
      </c>
      <c r="B74" s="370"/>
      <c r="C74" s="93">
        <v>0</v>
      </c>
      <c r="D74" s="79">
        <f>D73</f>
        <v>0</v>
      </c>
      <c r="E74" s="79">
        <f>E73</f>
        <v>0</v>
      </c>
      <c r="F74" s="79">
        <f>F73</f>
        <v>0</v>
      </c>
      <c r="G74" s="79">
        <f>G73</f>
        <v>0</v>
      </c>
      <c r="H74" s="62">
        <f>H73</f>
        <v>0</v>
      </c>
    </row>
    <row r="75" spans="1:8" s="30" customFormat="1" ht="15.75" customHeight="1" x14ac:dyDescent="0.25">
      <c r="A75" s="351" t="s">
        <v>30</v>
      </c>
      <c r="B75" s="352"/>
      <c r="C75" s="352"/>
      <c r="D75" s="279"/>
      <c r="E75" s="279"/>
      <c r="F75" s="279"/>
      <c r="G75" s="279"/>
      <c r="H75" s="280"/>
    </row>
    <row r="76" spans="1:8" s="30" customFormat="1" ht="15.75" customHeight="1" x14ac:dyDescent="0.25">
      <c r="A76" s="383" t="s">
        <v>203</v>
      </c>
      <c r="B76" s="384"/>
      <c r="C76" s="384"/>
      <c r="D76" s="284"/>
      <c r="E76" s="284"/>
      <c r="F76" s="284"/>
      <c r="G76" s="284"/>
      <c r="H76" s="285"/>
    </row>
    <row r="77" spans="1:8" s="30" customFormat="1" ht="15.75" customHeight="1" x14ac:dyDescent="0.25">
      <c r="A77" s="265">
        <v>4</v>
      </c>
      <c r="B77" s="345" t="s">
        <v>220</v>
      </c>
      <c r="C77" s="346"/>
      <c r="D77" s="68" t="s">
        <v>10</v>
      </c>
      <c r="E77" s="68" t="s">
        <v>10</v>
      </c>
      <c r="F77" s="68" t="s">
        <v>10</v>
      </c>
      <c r="G77" s="68" t="s">
        <v>10</v>
      </c>
      <c r="H77" s="129" t="s">
        <v>10</v>
      </c>
    </row>
    <row r="78" spans="1:8" s="30" customFormat="1" ht="15.75" customHeight="1" x14ac:dyDescent="0.25">
      <c r="A78" s="49" t="s">
        <v>199</v>
      </c>
      <c r="B78" s="268" t="s">
        <v>198</v>
      </c>
      <c r="C78" s="54">
        <f t="shared" ref="C78" si="13">C70</f>
        <v>2.9100000000000001E-2</v>
      </c>
      <c r="D78" s="66">
        <f>D70</f>
        <v>207.65</v>
      </c>
      <c r="E78" s="66">
        <f>E70</f>
        <v>233.7</v>
      </c>
      <c r="F78" s="66">
        <f>F70</f>
        <v>233.7</v>
      </c>
      <c r="G78" s="66">
        <f>G70</f>
        <v>207.65</v>
      </c>
      <c r="H78" s="137">
        <f>H70</f>
        <v>207.65</v>
      </c>
    </row>
    <row r="79" spans="1:8" s="30" customFormat="1" ht="15.75" customHeight="1" x14ac:dyDescent="0.25">
      <c r="A79" s="49" t="s">
        <v>221</v>
      </c>
      <c r="B79" s="268" t="s">
        <v>201</v>
      </c>
      <c r="C79" s="54">
        <v>0</v>
      </c>
      <c r="D79" s="66">
        <f>(D$25+D$53+D$61)*C79</f>
        <v>0</v>
      </c>
      <c r="E79" s="66">
        <f>(E$25+E$53+E$61)*C79</f>
        <v>0</v>
      </c>
      <c r="F79" s="66">
        <f>(F$25+F$53+F$61)*C79</f>
        <v>0</v>
      </c>
      <c r="G79" s="66">
        <f>(G$25+G$53+G$61)*C79</f>
        <v>0</v>
      </c>
      <c r="H79" s="137">
        <f>(H$25+H$53+H$61)*C79</f>
        <v>0</v>
      </c>
    </row>
    <row r="80" spans="1:8" s="30" customFormat="1" ht="15.75" customHeight="1" x14ac:dyDescent="0.25">
      <c r="A80" s="369" t="s">
        <v>27</v>
      </c>
      <c r="B80" s="370"/>
      <c r="C80" s="91">
        <f t="shared" ref="C80" si="14">SUM(C78:C79)</f>
        <v>2.9100000000000001E-2</v>
      </c>
      <c r="D80" s="78">
        <f>SUM(D78:D79)</f>
        <v>207.65</v>
      </c>
      <c r="E80" s="78">
        <f>SUM(E78:E79)</f>
        <v>233.7</v>
      </c>
      <c r="F80" s="78">
        <f>SUM(F78:F79)</f>
        <v>233.7</v>
      </c>
      <c r="G80" s="78">
        <f>SUM(G78:G79)</f>
        <v>207.65</v>
      </c>
      <c r="H80" s="138">
        <f>SUM(H78:H79)</f>
        <v>207.65</v>
      </c>
    </row>
    <row r="81" spans="1:8" s="30" customFormat="1" ht="15.75" customHeight="1" x14ac:dyDescent="0.25">
      <c r="A81" s="349" t="s">
        <v>155</v>
      </c>
      <c r="B81" s="350"/>
      <c r="C81" s="350"/>
      <c r="D81" s="86">
        <f>SUM(D74+D80)</f>
        <v>207.65</v>
      </c>
      <c r="E81" s="86">
        <f>SUM(E74+E80)</f>
        <v>233.7</v>
      </c>
      <c r="F81" s="86">
        <f>SUM(F74+F80)</f>
        <v>233.7</v>
      </c>
      <c r="G81" s="86">
        <f>SUM(G74+G80)</f>
        <v>207.65</v>
      </c>
      <c r="H81" s="136">
        <f>SUM(H74+H80)</f>
        <v>207.65</v>
      </c>
    </row>
    <row r="82" spans="1:8" s="30" customFormat="1" ht="15.75" customHeight="1" x14ac:dyDescent="0.25">
      <c r="A82" s="347" t="s">
        <v>164</v>
      </c>
      <c r="B82" s="348"/>
      <c r="C82" s="348"/>
      <c r="D82" s="286"/>
      <c r="E82" s="286"/>
      <c r="F82" s="286"/>
      <c r="G82" s="286"/>
      <c r="H82" s="287"/>
    </row>
    <row r="83" spans="1:8" s="30" customFormat="1" ht="15.75" customHeight="1" x14ac:dyDescent="0.25">
      <c r="A83" s="265">
        <v>5</v>
      </c>
      <c r="B83" s="345" t="s">
        <v>24</v>
      </c>
      <c r="C83" s="346"/>
      <c r="D83" s="68" t="s">
        <v>10</v>
      </c>
      <c r="E83" s="68" t="s">
        <v>10</v>
      </c>
      <c r="F83" s="68" t="s">
        <v>10</v>
      </c>
      <c r="G83" s="68" t="s">
        <v>10</v>
      </c>
      <c r="H83" s="129" t="s">
        <v>10</v>
      </c>
    </row>
    <row r="84" spans="1:8" s="30" customFormat="1" ht="15.75" customHeight="1" x14ac:dyDescent="0.25">
      <c r="A84" s="49" t="s">
        <v>0</v>
      </c>
      <c r="B84" s="344" t="s">
        <v>222</v>
      </c>
      <c r="C84" s="344"/>
      <c r="D84" s="77">
        <f>Uniformes!H7</f>
        <v>36.619999999999997</v>
      </c>
      <c r="E84" s="77">
        <f>Uniformes!H7</f>
        <v>36.619999999999997</v>
      </c>
      <c r="F84" s="77">
        <f>Uniformes!H7</f>
        <v>36.619999999999997</v>
      </c>
      <c r="G84" s="77">
        <f>Uniformes!H7</f>
        <v>36.619999999999997</v>
      </c>
      <c r="H84" s="61">
        <f>Uniformes!H7</f>
        <v>36.619999999999997</v>
      </c>
    </row>
    <row r="85" spans="1:8" s="30" customFormat="1" ht="15.75" customHeight="1" x14ac:dyDescent="0.25">
      <c r="A85" s="49" t="s">
        <v>2</v>
      </c>
      <c r="B85" s="344" t="s">
        <v>223</v>
      </c>
      <c r="C85" s="344"/>
      <c r="D85" s="77">
        <f>Materiais!H18</f>
        <v>64.819999999999993</v>
      </c>
      <c r="E85" s="77">
        <f>Materiais!H19</f>
        <v>44.57</v>
      </c>
      <c r="F85" s="77">
        <f>Materiais!H20</f>
        <v>44.57</v>
      </c>
      <c r="G85" s="77">
        <f>Materiais!H21</f>
        <v>129.65</v>
      </c>
      <c r="H85" s="61">
        <f>Materiais!H22</f>
        <v>129.65</v>
      </c>
    </row>
    <row r="86" spans="1:8" s="30" customFormat="1" ht="15.75" customHeight="1" x14ac:dyDescent="0.25">
      <c r="A86" s="49" t="s">
        <v>3</v>
      </c>
      <c r="B86" s="344" t="s">
        <v>187</v>
      </c>
      <c r="C86" s="344"/>
      <c r="D86" s="77">
        <f>Equipamentos!H18</f>
        <v>1312.5</v>
      </c>
      <c r="E86" s="77">
        <f>Equipamentos!H19</f>
        <v>922.4</v>
      </c>
      <c r="F86" s="77">
        <f>Equipamentos!H20</f>
        <v>922.4</v>
      </c>
      <c r="G86" s="77">
        <f>Equipamentos!H21</f>
        <v>2625</v>
      </c>
      <c r="H86" s="61">
        <f>Equipamentos!H22</f>
        <v>2625</v>
      </c>
    </row>
    <row r="87" spans="1:8" s="30" customFormat="1" ht="15.75" customHeight="1" x14ac:dyDescent="0.25">
      <c r="A87" s="49" t="s">
        <v>5</v>
      </c>
      <c r="B87" s="344" t="s">
        <v>137</v>
      </c>
      <c r="C87" s="344"/>
      <c r="D87" s="77">
        <v>0</v>
      </c>
      <c r="E87" s="77">
        <v>0</v>
      </c>
      <c r="F87" s="77">
        <v>0</v>
      </c>
      <c r="G87" s="77">
        <v>0</v>
      </c>
      <c r="H87" s="61">
        <v>0</v>
      </c>
    </row>
    <row r="88" spans="1:8" s="30" customFormat="1" ht="15.75" customHeight="1" x14ac:dyDescent="0.25">
      <c r="A88" s="349" t="s">
        <v>156</v>
      </c>
      <c r="B88" s="350"/>
      <c r="C88" s="350"/>
      <c r="D88" s="65">
        <f>SUM(D84:D87)</f>
        <v>1413.94</v>
      </c>
      <c r="E88" s="65">
        <f>SUM(E84:E87)</f>
        <v>1003.59</v>
      </c>
      <c r="F88" s="65">
        <f>SUM(F84:F87)</f>
        <v>1003.59</v>
      </c>
      <c r="G88" s="65">
        <f>SUM(G84:G87)</f>
        <v>2791.27</v>
      </c>
      <c r="H88" s="60">
        <f>SUM(H84:H87)</f>
        <v>2791.27</v>
      </c>
    </row>
    <row r="89" spans="1:8" s="30" customFormat="1" ht="30" customHeight="1" x14ac:dyDescent="0.25">
      <c r="A89" s="347" t="s">
        <v>37</v>
      </c>
      <c r="B89" s="348"/>
      <c r="C89" s="348"/>
      <c r="D89" s="69">
        <f>D88+D81+D61+D53+D25</f>
        <v>8720.58</v>
      </c>
      <c r="E89" s="69">
        <f>E88+E81+E61+E53+E25</f>
        <v>9231.5499999999993</v>
      </c>
      <c r="F89" s="69">
        <f>F88+F81+F61+F53+F25</f>
        <v>9231.5499999999993</v>
      </c>
      <c r="G89" s="69">
        <f>G88+G81+G61+G53+G25</f>
        <v>10097.91</v>
      </c>
      <c r="H89" s="127">
        <f>H88+H81+H61+H53+H25</f>
        <v>10097.91</v>
      </c>
    </row>
    <row r="90" spans="1:8" s="30" customFormat="1" ht="19.5" customHeight="1" x14ac:dyDescent="0.25">
      <c r="A90" s="351" t="s">
        <v>165</v>
      </c>
      <c r="B90" s="352"/>
      <c r="C90" s="352"/>
      <c r="D90" s="279"/>
      <c r="E90" s="279"/>
      <c r="F90" s="279"/>
      <c r="G90" s="279"/>
      <c r="H90" s="280"/>
    </row>
    <row r="91" spans="1:8" s="30" customFormat="1" x14ac:dyDescent="0.25">
      <c r="A91" s="265">
        <v>6</v>
      </c>
      <c r="B91" s="345" t="s">
        <v>38</v>
      </c>
      <c r="C91" s="363"/>
      <c r="D91" s="68" t="s">
        <v>10</v>
      </c>
      <c r="E91" s="68" t="s">
        <v>10</v>
      </c>
      <c r="F91" s="68" t="s">
        <v>10</v>
      </c>
      <c r="G91" s="68" t="s">
        <v>10</v>
      </c>
      <c r="H91" s="129" t="s">
        <v>10</v>
      </c>
    </row>
    <row r="92" spans="1:8" s="30" customFormat="1" x14ac:dyDescent="0.25">
      <c r="A92" s="265" t="s">
        <v>0</v>
      </c>
      <c r="B92" s="268" t="s">
        <v>39</v>
      </c>
      <c r="C92" s="54">
        <v>0.03</v>
      </c>
      <c r="D92" s="66">
        <f>+D89*C92</f>
        <v>261.62</v>
      </c>
      <c r="E92" s="66">
        <f>+E89*C92</f>
        <v>276.95</v>
      </c>
      <c r="F92" s="66">
        <f>+F89*C92</f>
        <v>276.95</v>
      </c>
      <c r="G92" s="66">
        <f>+G89*C92</f>
        <v>302.94</v>
      </c>
      <c r="H92" s="137">
        <f>+H89*C92</f>
        <v>302.94</v>
      </c>
    </row>
    <row r="93" spans="1:8" s="30" customFormat="1" x14ac:dyDescent="0.25">
      <c r="A93" s="265" t="s">
        <v>2</v>
      </c>
      <c r="B93" s="268" t="s">
        <v>40</v>
      </c>
      <c r="C93" s="54">
        <v>6.7900000000000002E-2</v>
      </c>
      <c r="D93" s="77">
        <f>(D89+D92)*C93</f>
        <v>609.89</v>
      </c>
      <c r="E93" s="77">
        <f>(E89+E92)*C93</f>
        <v>645.63</v>
      </c>
      <c r="F93" s="77">
        <f>(F89+F92)*C93</f>
        <v>645.63</v>
      </c>
      <c r="G93" s="77">
        <f>(G89+G92)*C93</f>
        <v>706.22</v>
      </c>
      <c r="H93" s="61">
        <f>(H89+H92)*C93</f>
        <v>706.22</v>
      </c>
    </row>
    <row r="94" spans="1:8" s="30" customFormat="1" ht="31.5" x14ac:dyDescent="0.25">
      <c r="A94" s="375" t="s">
        <v>3</v>
      </c>
      <c r="B94" s="268" t="s">
        <v>50</v>
      </c>
      <c r="C94" s="54">
        <f>1-C102</f>
        <v>0.85750000000000004</v>
      </c>
      <c r="D94" s="66">
        <f>D89+D92+D93</f>
        <v>9592.09</v>
      </c>
      <c r="E94" s="66">
        <f>E89+E92+E93</f>
        <v>10154.129999999999</v>
      </c>
      <c r="F94" s="66">
        <f>F89+F92+F93</f>
        <v>10154.129999999999</v>
      </c>
      <c r="G94" s="66">
        <f>G89+G92+G93</f>
        <v>11107.07</v>
      </c>
      <c r="H94" s="137">
        <f>H89+H92+H93</f>
        <v>11107.07</v>
      </c>
    </row>
    <row r="95" spans="1:8" s="30" customFormat="1" x14ac:dyDescent="0.25">
      <c r="A95" s="375"/>
      <c r="B95" s="268" t="s">
        <v>41</v>
      </c>
      <c r="C95" s="88"/>
      <c r="D95" s="77">
        <f>D94/C94</f>
        <v>11186.11</v>
      </c>
      <c r="E95" s="77">
        <f>E94/C94</f>
        <v>11841.55</v>
      </c>
      <c r="F95" s="77">
        <f>F94/C94</f>
        <v>11841.55</v>
      </c>
      <c r="G95" s="77">
        <f>G94/C94</f>
        <v>12952.85</v>
      </c>
      <c r="H95" s="61">
        <f>H94/C94</f>
        <v>12952.85</v>
      </c>
    </row>
    <row r="96" spans="1:8" s="30" customFormat="1" x14ac:dyDescent="0.25">
      <c r="A96" s="375"/>
      <c r="B96" s="268" t="s">
        <v>42</v>
      </c>
      <c r="C96" s="67"/>
      <c r="D96" s="87"/>
      <c r="E96" s="87"/>
      <c r="F96" s="87"/>
      <c r="G96" s="87"/>
      <c r="H96" s="143"/>
    </row>
    <row r="97" spans="1:8" s="30" customFormat="1" x14ac:dyDescent="0.25">
      <c r="A97" s="375"/>
      <c r="B97" s="268" t="s">
        <v>130</v>
      </c>
      <c r="C97" s="54">
        <v>1.6500000000000001E-2</v>
      </c>
      <c r="D97" s="66">
        <f>D95*C97</f>
        <v>184.57</v>
      </c>
      <c r="E97" s="66">
        <f>E95*C97</f>
        <v>195.39</v>
      </c>
      <c r="F97" s="66">
        <f>F95*C97</f>
        <v>195.39</v>
      </c>
      <c r="G97" s="66">
        <f>G95*C97</f>
        <v>213.72</v>
      </c>
      <c r="H97" s="137">
        <f>H95*C97</f>
        <v>213.72</v>
      </c>
    </row>
    <row r="98" spans="1:8" s="30" customFormat="1" x14ac:dyDescent="0.25">
      <c r="A98" s="375"/>
      <c r="B98" s="268" t="s">
        <v>131</v>
      </c>
      <c r="C98" s="54">
        <v>7.5999999999999998E-2</v>
      </c>
      <c r="D98" s="66">
        <f>D95*C98</f>
        <v>850.14</v>
      </c>
      <c r="E98" s="66">
        <f>E95*C98</f>
        <v>899.96</v>
      </c>
      <c r="F98" s="66">
        <f>F95*C98</f>
        <v>899.96</v>
      </c>
      <c r="G98" s="66">
        <f>G95*C98</f>
        <v>984.42</v>
      </c>
      <c r="H98" s="137">
        <f>H95*C98</f>
        <v>984.42</v>
      </c>
    </row>
    <row r="99" spans="1:8" s="30" customFormat="1" x14ac:dyDescent="0.25">
      <c r="A99" s="375"/>
      <c r="B99" s="221" t="s">
        <v>43</v>
      </c>
      <c r="C99" s="88"/>
      <c r="D99" s="77"/>
      <c r="E99" s="77"/>
      <c r="F99" s="77"/>
      <c r="G99" s="77"/>
      <c r="H99" s="61"/>
    </row>
    <row r="100" spans="1:8" s="30" customFormat="1" x14ac:dyDescent="0.25">
      <c r="A100" s="375"/>
      <c r="B100" s="221" t="s">
        <v>44</v>
      </c>
      <c r="C100" s="94"/>
      <c r="D100" s="89"/>
      <c r="E100" s="89"/>
      <c r="F100" s="89"/>
      <c r="G100" s="89"/>
      <c r="H100" s="144"/>
    </row>
    <row r="101" spans="1:8" s="30" customFormat="1" x14ac:dyDescent="0.25">
      <c r="A101" s="375"/>
      <c r="B101" s="268" t="s">
        <v>142</v>
      </c>
      <c r="C101" s="54">
        <v>0.05</v>
      </c>
      <c r="D101" s="66">
        <f>D95*C101</f>
        <v>559.30999999999995</v>
      </c>
      <c r="E101" s="66">
        <f>E95*C101</f>
        <v>592.08000000000004</v>
      </c>
      <c r="F101" s="66">
        <f>F95*C101</f>
        <v>592.08000000000004</v>
      </c>
      <c r="G101" s="66">
        <f>G95*C101</f>
        <v>647.64</v>
      </c>
      <c r="H101" s="137">
        <f>H95*C101</f>
        <v>647.64</v>
      </c>
    </row>
    <row r="102" spans="1:8" s="30" customFormat="1" x14ac:dyDescent="0.25">
      <c r="A102" s="265"/>
      <c r="B102" s="107" t="s">
        <v>45</v>
      </c>
      <c r="C102" s="99">
        <f t="shared" ref="C102" si="15">SUM(C97:C101)</f>
        <v>0.14249999999999999</v>
      </c>
      <c r="D102" s="100">
        <f>SUM(D97:D101)</f>
        <v>1594.02</v>
      </c>
      <c r="E102" s="100">
        <f>SUM(E97:E101)</f>
        <v>1687.43</v>
      </c>
      <c r="F102" s="100">
        <f>SUM(F97:F101)</f>
        <v>1687.43</v>
      </c>
      <c r="G102" s="100">
        <f>SUM(G97:G101)</f>
        <v>1845.78</v>
      </c>
      <c r="H102" s="145">
        <f>SUM(H97:H101)</f>
        <v>1845.78</v>
      </c>
    </row>
    <row r="103" spans="1:8" s="30" customFormat="1" ht="15.75" customHeight="1" x14ac:dyDescent="0.25">
      <c r="A103" s="369" t="s">
        <v>46</v>
      </c>
      <c r="B103" s="370"/>
      <c r="C103" s="370"/>
      <c r="D103" s="85">
        <f>SUM(D92:D93)+D102</f>
        <v>2465.5300000000002</v>
      </c>
      <c r="E103" s="85">
        <f>SUM(E92:E93)+E102</f>
        <v>2610.0100000000002</v>
      </c>
      <c r="F103" s="85">
        <f>SUM(F92:F93)+F102</f>
        <v>2610.0100000000002</v>
      </c>
      <c r="G103" s="85">
        <f>SUM(G92:G93)+G102</f>
        <v>2854.94</v>
      </c>
      <c r="H103" s="141">
        <f>SUM(H92:H93)+H102</f>
        <v>2854.94</v>
      </c>
    </row>
    <row r="104" spans="1:8" s="30" customFormat="1" ht="15.75" customHeight="1" x14ac:dyDescent="0.25">
      <c r="A104" s="376" t="s">
        <v>47</v>
      </c>
      <c r="B104" s="377"/>
      <c r="C104" s="377"/>
      <c r="D104" s="70" t="s">
        <v>10</v>
      </c>
      <c r="E104" s="70" t="s">
        <v>10</v>
      </c>
      <c r="F104" s="70" t="s">
        <v>10</v>
      </c>
      <c r="G104" s="70" t="s">
        <v>10</v>
      </c>
      <c r="H104" s="146" t="s">
        <v>10</v>
      </c>
    </row>
    <row r="105" spans="1:8" s="30" customFormat="1" x14ac:dyDescent="0.25">
      <c r="A105" s="49" t="s">
        <v>0</v>
      </c>
      <c r="B105" s="378" t="s">
        <v>48</v>
      </c>
      <c r="C105" s="378"/>
      <c r="D105" s="87">
        <f>D25</f>
        <v>3813.12</v>
      </c>
      <c r="E105" s="87">
        <f>E25</f>
        <v>4337.5600000000004</v>
      </c>
      <c r="F105" s="87">
        <f>F25</f>
        <v>4337.5600000000004</v>
      </c>
      <c r="G105" s="87">
        <f>G25</f>
        <v>3813.12</v>
      </c>
      <c r="H105" s="143">
        <f>H25</f>
        <v>3813.12</v>
      </c>
    </row>
    <row r="106" spans="1:8" s="30" customFormat="1" x14ac:dyDescent="0.25">
      <c r="A106" s="49" t="s">
        <v>2</v>
      </c>
      <c r="B106" s="378" t="s">
        <v>159</v>
      </c>
      <c r="C106" s="378"/>
      <c r="D106" s="87">
        <f>D53</f>
        <v>3013.24</v>
      </c>
      <c r="E106" s="87">
        <f>E53</f>
        <v>3346.56</v>
      </c>
      <c r="F106" s="87">
        <f>F53</f>
        <v>3346.56</v>
      </c>
      <c r="G106" s="87">
        <f>G53</f>
        <v>3013.24</v>
      </c>
      <c r="H106" s="143">
        <f>H53</f>
        <v>3013.24</v>
      </c>
    </row>
    <row r="107" spans="1:8" s="30" customFormat="1" x14ac:dyDescent="0.25">
      <c r="A107" s="49" t="s">
        <v>3</v>
      </c>
      <c r="B107" s="378" t="s">
        <v>157</v>
      </c>
      <c r="C107" s="378"/>
      <c r="D107" s="87">
        <f>D61</f>
        <v>272.63</v>
      </c>
      <c r="E107" s="87">
        <f>E61</f>
        <v>310.14</v>
      </c>
      <c r="F107" s="87">
        <f>F61</f>
        <v>310.14</v>
      </c>
      <c r="G107" s="87">
        <f>G61</f>
        <v>272.63</v>
      </c>
      <c r="H107" s="143">
        <f>H61</f>
        <v>272.63</v>
      </c>
    </row>
    <row r="108" spans="1:8" s="30" customFormat="1" x14ac:dyDescent="0.25">
      <c r="A108" s="49" t="s">
        <v>5</v>
      </c>
      <c r="B108" s="378" t="s">
        <v>150</v>
      </c>
      <c r="C108" s="378"/>
      <c r="D108" s="87">
        <f>D81</f>
        <v>207.65</v>
      </c>
      <c r="E108" s="87">
        <f>E81</f>
        <v>233.7</v>
      </c>
      <c r="F108" s="87">
        <f>F81</f>
        <v>233.7</v>
      </c>
      <c r="G108" s="87">
        <f>G81</f>
        <v>207.65</v>
      </c>
      <c r="H108" s="143">
        <f>H81</f>
        <v>207.65</v>
      </c>
    </row>
    <row r="109" spans="1:8" s="30" customFormat="1" x14ac:dyDescent="0.25">
      <c r="A109" s="49" t="s">
        <v>20</v>
      </c>
      <c r="B109" s="378" t="s">
        <v>158</v>
      </c>
      <c r="C109" s="378"/>
      <c r="D109" s="87">
        <f>D88</f>
        <v>1413.94</v>
      </c>
      <c r="E109" s="87">
        <f>E88</f>
        <v>1003.59</v>
      </c>
      <c r="F109" s="87">
        <f>F88</f>
        <v>1003.59</v>
      </c>
      <c r="G109" s="87">
        <f>G88</f>
        <v>2791.27</v>
      </c>
      <c r="H109" s="143">
        <f>H88</f>
        <v>2791.27</v>
      </c>
    </row>
    <row r="110" spans="1:8" s="30" customFormat="1" ht="15.75" customHeight="1" x14ac:dyDescent="0.25">
      <c r="A110" s="375" t="s">
        <v>160</v>
      </c>
      <c r="B110" s="372"/>
      <c r="C110" s="372"/>
      <c r="D110" s="68">
        <f>SUM(D105:D109)</f>
        <v>8720.58</v>
      </c>
      <c r="E110" s="68">
        <f>SUM(E105:E109)</f>
        <v>9231.5499999999993</v>
      </c>
      <c r="F110" s="68">
        <f>SUM(F105:F109)</f>
        <v>9231.5499999999993</v>
      </c>
      <c r="G110" s="68">
        <f>SUM(G105:G109)</f>
        <v>10097.91</v>
      </c>
      <c r="H110" s="129">
        <f>SUM(H105:H109)</f>
        <v>10097.91</v>
      </c>
    </row>
    <row r="111" spans="1:8" s="30" customFormat="1" x14ac:dyDescent="0.25">
      <c r="A111" s="265" t="s">
        <v>20</v>
      </c>
      <c r="B111" s="378" t="s">
        <v>161</v>
      </c>
      <c r="C111" s="378"/>
      <c r="D111" s="87">
        <f>D103</f>
        <v>2465.5300000000002</v>
      </c>
      <c r="E111" s="87">
        <f>E103</f>
        <v>2610.0100000000002</v>
      </c>
      <c r="F111" s="87">
        <f>F103</f>
        <v>2610.0100000000002</v>
      </c>
      <c r="G111" s="87">
        <f>G103</f>
        <v>2854.94</v>
      </c>
      <c r="H111" s="143">
        <f>H103</f>
        <v>2854.94</v>
      </c>
    </row>
    <row r="112" spans="1:8" s="30" customFormat="1" ht="16.5" customHeight="1" thickBot="1" x14ac:dyDescent="0.3">
      <c r="A112" s="361" t="s">
        <v>49</v>
      </c>
      <c r="B112" s="362"/>
      <c r="C112" s="362"/>
      <c r="D112" s="103">
        <f>SUM(D110:D111)</f>
        <v>11186.11</v>
      </c>
      <c r="E112" s="103">
        <f>SUM(E110:E111)</f>
        <v>11841.56</v>
      </c>
      <c r="F112" s="103">
        <f>SUM(F110:F111)</f>
        <v>11841.56</v>
      </c>
      <c r="G112" s="103">
        <f>SUM(G110:G111)</f>
        <v>12952.85</v>
      </c>
      <c r="H112" s="147">
        <f>SUM(H110:H111)</f>
        <v>12952.85</v>
      </c>
    </row>
    <row r="113" spans="2:8" x14ac:dyDescent="0.25">
      <c r="C113" s="31"/>
      <c r="D113" s="31"/>
      <c r="E113" s="31"/>
      <c r="F113" s="31"/>
      <c r="G113" s="31"/>
      <c r="H113" s="31"/>
    </row>
    <row r="114" spans="2:8" x14ac:dyDescent="0.25">
      <c r="B114" s="28"/>
      <c r="C114" s="31"/>
      <c r="D114" s="31"/>
      <c r="E114" s="31"/>
      <c r="F114" s="31"/>
      <c r="G114" s="31"/>
      <c r="H114" s="31"/>
    </row>
    <row r="115" spans="2:8" x14ac:dyDescent="0.25">
      <c r="B115" s="28"/>
      <c r="C115" s="31"/>
      <c r="D115" s="31"/>
      <c r="E115" s="31"/>
      <c r="F115" s="31"/>
      <c r="G115" s="31"/>
      <c r="H115" s="31"/>
    </row>
    <row r="116" spans="2:8" x14ac:dyDescent="0.25">
      <c r="B116" s="28"/>
      <c r="C116" s="374"/>
      <c r="D116" s="374"/>
      <c r="E116" s="374"/>
      <c r="F116" s="374"/>
      <c r="G116" s="374"/>
      <c r="H116" s="374"/>
    </row>
    <row r="117" spans="2:8" x14ac:dyDescent="0.25">
      <c r="B117" s="28"/>
      <c r="C117" s="31"/>
      <c r="D117" s="31"/>
      <c r="E117" s="31"/>
      <c r="F117" s="31"/>
      <c r="G117" s="31"/>
      <c r="H117" s="31"/>
    </row>
    <row r="119" spans="2:8" x14ac:dyDescent="0.25">
      <c r="B119" s="36"/>
    </row>
    <row r="124" spans="2:8" x14ac:dyDescent="0.25">
      <c r="B124" s="28"/>
    </row>
  </sheetData>
  <mergeCells count="65">
    <mergeCell ref="A1:H1"/>
    <mergeCell ref="C14:H14"/>
    <mergeCell ref="C15:H15"/>
    <mergeCell ref="C4:H4"/>
    <mergeCell ref="C5:H5"/>
    <mergeCell ref="C6:H6"/>
    <mergeCell ref="C7:H7"/>
    <mergeCell ref="A8:H8"/>
    <mergeCell ref="A9:H9"/>
    <mergeCell ref="A10:H10"/>
    <mergeCell ref="C12:H12"/>
    <mergeCell ref="A11:C11"/>
    <mergeCell ref="D11:H11"/>
    <mergeCell ref="C13:E13"/>
    <mergeCell ref="F13:H13"/>
    <mergeCell ref="A80:B80"/>
    <mergeCell ref="A81:C81"/>
    <mergeCell ref="A75:C75"/>
    <mergeCell ref="A76:C76"/>
    <mergeCell ref="A82:C82"/>
    <mergeCell ref="B42:C42"/>
    <mergeCell ref="B72:C72"/>
    <mergeCell ref="A74:B74"/>
    <mergeCell ref="A70:B70"/>
    <mergeCell ref="B77:C77"/>
    <mergeCell ref="B63:C63"/>
    <mergeCell ref="A61:C61"/>
    <mergeCell ref="A48:C48"/>
    <mergeCell ref="A49:C49"/>
    <mergeCell ref="A54:C54"/>
    <mergeCell ref="A62:C62"/>
    <mergeCell ref="C116:H116"/>
    <mergeCell ref="A94:A101"/>
    <mergeCell ref="A103:C103"/>
    <mergeCell ref="A104:C104"/>
    <mergeCell ref="B107:C107"/>
    <mergeCell ref="B111:C111"/>
    <mergeCell ref="B105:C105"/>
    <mergeCell ref="B106:C106"/>
    <mergeCell ref="A110:C110"/>
    <mergeCell ref="B108:C108"/>
    <mergeCell ref="B109:C109"/>
    <mergeCell ref="A90:C90"/>
    <mergeCell ref="A16:C16"/>
    <mergeCell ref="A3:H3"/>
    <mergeCell ref="A2:H2"/>
    <mergeCell ref="A112:C112"/>
    <mergeCell ref="B91:C91"/>
    <mergeCell ref="B32:C32"/>
    <mergeCell ref="A31:H31"/>
    <mergeCell ref="A30:B30"/>
    <mergeCell ref="A25:C25"/>
    <mergeCell ref="B17:C17"/>
    <mergeCell ref="B27:C27"/>
    <mergeCell ref="A26:C26"/>
    <mergeCell ref="A41:B41"/>
    <mergeCell ref="A53:C53"/>
    <mergeCell ref="B55:C55"/>
    <mergeCell ref="B84:C84"/>
    <mergeCell ref="B85:C85"/>
    <mergeCell ref="B86:C86"/>
    <mergeCell ref="B83:C83"/>
    <mergeCell ref="A89:C89"/>
    <mergeCell ref="A88:C88"/>
    <mergeCell ref="B87:C87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view="pageBreakPreview" topLeftCell="A10" zoomScaleNormal="115" zoomScaleSheetLayoutView="100" workbookViewId="0">
      <selection activeCell="A32" sqref="A32:A37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5" width="15.7109375" style="32" customWidth="1"/>
    <col min="6" max="6" width="15.7109375" style="37" customWidth="1"/>
    <col min="7" max="7" width="9.140625" style="28" customWidth="1"/>
    <col min="8" max="16384" width="9.140625" style="28"/>
  </cols>
  <sheetData>
    <row r="1" spans="1:6" x14ac:dyDescent="0.25">
      <c r="A1" s="385"/>
      <c r="B1" s="386"/>
      <c r="C1" s="386"/>
      <c r="D1" s="386"/>
      <c r="E1" s="386"/>
      <c r="F1" s="387"/>
    </row>
    <row r="2" spans="1:6" s="38" customFormat="1" ht="16.5" customHeight="1" x14ac:dyDescent="0.25">
      <c r="A2" s="358" t="s">
        <v>132</v>
      </c>
      <c r="B2" s="359"/>
      <c r="C2" s="359"/>
      <c r="D2" s="359"/>
      <c r="E2" s="359"/>
      <c r="F2" s="360"/>
    </row>
    <row r="3" spans="1:6" s="38" customFormat="1" x14ac:dyDescent="0.25">
      <c r="A3" s="355" t="s">
        <v>129</v>
      </c>
      <c r="B3" s="356"/>
      <c r="C3" s="356"/>
      <c r="D3" s="356"/>
      <c r="E3" s="356"/>
      <c r="F3" s="357"/>
    </row>
    <row r="4" spans="1:6" s="38" customFormat="1" ht="15" customHeight="1" x14ac:dyDescent="0.25">
      <c r="A4" s="40" t="s">
        <v>0</v>
      </c>
      <c r="B4" s="174" t="s">
        <v>1</v>
      </c>
      <c r="C4" s="392">
        <v>2024</v>
      </c>
      <c r="D4" s="392"/>
      <c r="E4" s="392"/>
      <c r="F4" s="393"/>
    </row>
    <row r="5" spans="1:6" s="38" customFormat="1" ht="45" customHeight="1" x14ac:dyDescent="0.25">
      <c r="A5" s="40" t="s">
        <v>2</v>
      </c>
      <c r="B5" s="174" t="s">
        <v>140</v>
      </c>
      <c r="C5" s="394" t="s">
        <v>268</v>
      </c>
      <c r="D5" s="394"/>
      <c r="E5" s="394"/>
      <c r="F5" s="395"/>
    </row>
    <row r="6" spans="1:6" s="38" customFormat="1" ht="15.75" customHeight="1" x14ac:dyDescent="0.25">
      <c r="A6" s="40" t="s">
        <v>3</v>
      </c>
      <c r="B6" s="174" t="s">
        <v>4</v>
      </c>
      <c r="C6" s="394" t="s">
        <v>284</v>
      </c>
      <c r="D6" s="394"/>
      <c r="E6" s="394"/>
      <c r="F6" s="395"/>
    </row>
    <row r="7" spans="1:6" s="38" customFormat="1" x14ac:dyDescent="0.25">
      <c r="A7" s="40" t="s">
        <v>5</v>
      </c>
      <c r="B7" s="174" t="s">
        <v>143</v>
      </c>
      <c r="C7" s="394">
        <v>12</v>
      </c>
      <c r="D7" s="394"/>
      <c r="E7" s="394"/>
      <c r="F7" s="395"/>
    </row>
    <row r="8" spans="1:6" s="38" customFormat="1" x14ac:dyDescent="0.25">
      <c r="A8" s="355" t="s">
        <v>6</v>
      </c>
      <c r="B8" s="356"/>
      <c r="C8" s="356"/>
      <c r="D8" s="356"/>
      <c r="E8" s="356"/>
      <c r="F8" s="357"/>
    </row>
    <row r="9" spans="1:6" s="38" customFormat="1" x14ac:dyDescent="0.25">
      <c r="A9" s="355" t="s">
        <v>7</v>
      </c>
      <c r="B9" s="356"/>
      <c r="C9" s="356"/>
      <c r="D9" s="356"/>
      <c r="E9" s="356"/>
      <c r="F9" s="357"/>
    </row>
    <row r="10" spans="1:6" s="38" customFormat="1" ht="15.75" customHeight="1" x14ac:dyDescent="0.25">
      <c r="A10" s="355" t="s">
        <v>8</v>
      </c>
      <c r="B10" s="356"/>
      <c r="C10" s="356"/>
      <c r="D10" s="356"/>
      <c r="E10" s="356"/>
      <c r="F10" s="357"/>
    </row>
    <row r="11" spans="1:6" s="38" customFormat="1" ht="30" customHeight="1" x14ac:dyDescent="0.25">
      <c r="A11" s="396" t="s">
        <v>9</v>
      </c>
      <c r="B11" s="397"/>
      <c r="C11" s="397"/>
      <c r="D11" s="405" t="s">
        <v>10</v>
      </c>
      <c r="E11" s="406"/>
      <c r="F11" s="407"/>
    </row>
    <row r="12" spans="1:6" s="38" customFormat="1" ht="45" customHeight="1" x14ac:dyDescent="0.25">
      <c r="A12" s="40">
        <v>1</v>
      </c>
      <c r="B12" s="173" t="s">
        <v>133</v>
      </c>
      <c r="C12" s="388" t="s">
        <v>269</v>
      </c>
      <c r="D12" s="388"/>
      <c r="E12" s="388"/>
      <c r="F12" s="389"/>
    </row>
    <row r="13" spans="1:6" s="38" customFormat="1" ht="30" customHeight="1" x14ac:dyDescent="0.25">
      <c r="A13" s="40">
        <v>2</v>
      </c>
      <c r="B13" s="173" t="s">
        <v>11</v>
      </c>
      <c r="C13" s="399">
        <v>3248.32</v>
      </c>
      <c r="D13" s="401"/>
      <c r="E13" s="402">
        <v>3772.76</v>
      </c>
      <c r="F13" s="404"/>
    </row>
    <row r="14" spans="1:6" s="38" customFormat="1" ht="15.75" customHeight="1" x14ac:dyDescent="0.25">
      <c r="A14" s="40">
        <v>3</v>
      </c>
      <c r="B14" s="173" t="s">
        <v>12</v>
      </c>
      <c r="C14" s="388" t="s">
        <v>273</v>
      </c>
      <c r="D14" s="388"/>
      <c r="E14" s="388"/>
      <c r="F14" s="389"/>
    </row>
    <row r="15" spans="1:6" s="38" customFormat="1" x14ac:dyDescent="0.25">
      <c r="A15" s="40">
        <v>4</v>
      </c>
      <c r="B15" s="211" t="s">
        <v>13</v>
      </c>
      <c r="C15" s="390">
        <v>2024</v>
      </c>
      <c r="D15" s="390"/>
      <c r="E15" s="390"/>
      <c r="F15" s="391"/>
    </row>
    <row r="16" spans="1:6" s="39" customFormat="1" ht="31.5" x14ac:dyDescent="0.25">
      <c r="A16" s="353" t="s">
        <v>14</v>
      </c>
      <c r="B16" s="354"/>
      <c r="C16" s="354"/>
      <c r="D16" s="125" t="s">
        <v>266</v>
      </c>
      <c r="E16" s="125" t="s">
        <v>264</v>
      </c>
      <c r="F16" s="134" t="s">
        <v>267</v>
      </c>
    </row>
    <row r="17" spans="1:6" s="39" customFormat="1" x14ac:dyDescent="0.25">
      <c r="A17" s="175">
        <v>1</v>
      </c>
      <c r="B17" s="397" t="s">
        <v>15</v>
      </c>
      <c r="C17" s="397"/>
      <c r="D17" s="56" t="s">
        <v>10</v>
      </c>
      <c r="E17" s="56" t="s">
        <v>10</v>
      </c>
      <c r="F17" s="57" t="s">
        <v>10</v>
      </c>
    </row>
    <row r="18" spans="1:6" s="38" customFormat="1" ht="15.75" customHeight="1" x14ac:dyDescent="0.25">
      <c r="A18" s="44" t="s">
        <v>0</v>
      </c>
      <c r="B18" s="223" t="s">
        <v>16</v>
      </c>
      <c r="C18" s="211"/>
      <c r="D18" s="74">
        <f>C13</f>
        <v>3248.32</v>
      </c>
      <c r="E18" s="64">
        <f>E13</f>
        <v>3772.76</v>
      </c>
      <c r="F18" s="58">
        <f>C13</f>
        <v>3248.32</v>
      </c>
    </row>
    <row r="19" spans="1:6" s="38" customFormat="1" ht="15.75" customHeight="1" x14ac:dyDescent="0.25">
      <c r="A19" s="44" t="s">
        <v>2</v>
      </c>
      <c r="B19" s="223" t="s">
        <v>17</v>
      </c>
      <c r="C19" s="212"/>
      <c r="D19" s="76"/>
      <c r="E19" s="76"/>
      <c r="F19" s="59"/>
    </row>
    <row r="20" spans="1:6" s="38" customFormat="1" ht="15.75" customHeight="1" x14ac:dyDescent="0.25">
      <c r="A20" s="44" t="s">
        <v>3</v>
      </c>
      <c r="B20" s="223" t="s">
        <v>18</v>
      </c>
      <c r="C20" s="108" t="s">
        <v>242</v>
      </c>
      <c r="D20" s="76">
        <f>40%*1412</f>
        <v>564.79999999999995</v>
      </c>
      <c r="E20" s="76">
        <f>40%*1412</f>
        <v>564.79999999999995</v>
      </c>
      <c r="F20" s="59">
        <f>40%*1412</f>
        <v>564.79999999999995</v>
      </c>
    </row>
    <row r="21" spans="1:6" s="38" customFormat="1" ht="15.75" customHeight="1" x14ac:dyDescent="0.25">
      <c r="A21" s="44" t="s">
        <v>5</v>
      </c>
      <c r="B21" s="223" t="s">
        <v>19</v>
      </c>
      <c r="C21" s="212"/>
      <c r="D21" s="76">
        <f>((((D18+D20)/220)*20%)*8)*15.21</f>
        <v>421.8</v>
      </c>
      <c r="E21" s="76">
        <f>((((E18+E20)/220)*20%)*8)*15.21</f>
        <v>479.81</v>
      </c>
      <c r="F21" s="59">
        <f>((((F18+F20)/220)*20%)*8)*15.21</f>
        <v>421.8</v>
      </c>
    </row>
    <row r="22" spans="1:6" s="38" customFormat="1" ht="15.75" customHeight="1" x14ac:dyDescent="0.25">
      <c r="A22" s="44" t="s">
        <v>20</v>
      </c>
      <c r="B22" s="223" t="s">
        <v>204</v>
      </c>
      <c r="C22" s="212"/>
      <c r="D22" s="76"/>
      <c r="E22" s="76"/>
      <c r="F22" s="59"/>
    </row>
    <row r="23" spans="1:6" s="38" customFormat="1" x14ac:dyDescent="0.25">
      <c r="A23" s="44" t="s">
        <v>21</v>
      </c>
      <c r="B23" s="223" t="s">
        <v>138</v>
      </c>
      <c r="C23" s="108"/>
      <c r="D23" s="76"/>
      <c r="E23" s="76"/>
      <c r="F23" s="59"/>
    </row>
    <row r="24" spans="1:6" s="38" customFormat="1" ht="15.75" customHeight="1" x14ac:dyDescent="0.25">
      <c r="A24" s="44" t="s">
        <v>22</v>
      </c>
      <c r="B24" s="183" t="s">
        <v>139</v>
      </c>
      <c r="C24" s="108"/>
      <c r="D24" s="76"/>
      <c r="E24" s="76"/>
      <c r="F24" s="59"/>
    </row>
    <row r="25" spans="1:6" s="39" customFormat="1" ht="15.75" customHeight="1" x14ac:dyDescent="0.25">
      <c r="A25" s="349" t="s">
        <v>152</v>
      </c>
      <c r="B25" s="350"/>
      <c r="C25" s="350"/>
      <c r="D25" s="65">
        <f>SUM(D18:D24)</f>
        <v>4234.92</v>
      </c>
      <c r="E25" s="65">
        <f>SUM(E18:E24)</f>
        <v>4817.37</v>
      </c>
      <c r="F25" s="60">
        <f>SUM(F18:F24)</f>
        <v>4234.92</v>
      </c>
    </row>
    <row r="26" spans="1:6" s="39" customFormat="1" x14ac:dyDescent="0.25">
      <c r="A26" s="408" t="s">
        <v>51</v>
      </c>
      <c r="B26" s="409"/>
      <c r="C26" s="410"/>
      <c r="D26" s="290"/>
      <c r="E26" s="290"/>
      <c r="F26" s="291"/>
    </row>
    <row r="27" spans="1:6" s="38" customFormat="1" x14ac:dyDescent="0.25">
      <c r="A27" s="181" t="s">
        <v>141</v>
      </c>
      <c r="B27" s="345" t="s">
        <v>205</v>
      </c>
      <c r="C27" s="363"/>
      <c r="D27" s="68" t="s">
        <v>10</v>
      </c>
      <c r="E27" s="68" t="s">
        <v>10</v>
      </c>
      <c r="F27" s="129" t="s">
        <v>10</v>
      </c>
    </row>
    <row r="28" spans="1:6" s="38" customFormat="1" x14ac:dyDescent="0.25">
      <c r="A28" s="49" t="s">
        <v>0</v>
      </c>
      <c r="B28" s="182" t="s">
        <v>28</v>
      </c>
      <c r="C28" s="54">
        <f>1/12</f>
        <v>8.3299999999999999E-2</v>
      </c>
      <c r="D28" s="77">
        <f>(D25)*C28</f>
        <v>352.77</v>
      </c>
      <c r="E28" s="77">
        <f>(E25)*C28</f>
        <v>401.29</v>
      </c>
      <c r="F28" s="61">
        <f>(F25)*C28</f>
        <v>352.77</v>
      </c>
    </row>
    <row r="29" spans="1:6" s="38" customFormat="1" x14ac:dyDescent="0.25">
      <c r="A29" s="49" t="s">
        <v>2</v>
      </c>
      <c r="B29" s="182" t="s">
        <v>148</v>
      </c>
      <c r="C29" s="54">
        <v>0.1111</v>
      </c>
      <c r="D29" s="77">
        <f>(D25)*C29</f>
        <v>470.5</v>
      </c>
      <c r="E29" s="77">
        <f>(E25)*C29</f>
        <v>535.21</v>
      </c>
      <c r="F29" s="61">
        <f>(F25)*C29</f>
        <v>470.5</v>
      </c>
    </row>
    <row r="30" spans="1:6" x14ac:dyDescent="0.25">
      <c r="A30" s="369" t="s">
        <v>27</v>
      </c>
      <c r="B30" s="370"/>
      <c r="C30" s="91">
        <f>SUM(C28:C29)</f>
        <v>0.19439999999999999</v>
      </c>
      <c r="D30" s="79">
        <f>SUM(D28:D29)</f>
        <v>823.27</v>
      </c>
      <c r="E30" s="79">
        <f>SUM(E28:E29)</f>
        <v>936.5</v>
      </c>
      <c r="F30" s="62">
        <f>SUM(F28:F29)</f>
        <v>823.27</v>
      </c>
    </row>
    <row r="31" spans="1:6" ht="32.25" customHeight="1" x14ac:dyDescent="0.25">
      <c r="A31" s="366" t="s">
        <v>190</v>
      </c>
      <c r="B31" s="367"/>
      <c r="C31" s="367"/>
      <c r="D31" s="367"/>
      <c r="E31" s="367"/>
      <c r="F31" s="368"/>
    </row>
    <row r="32" spans="1:6" x14ac:dyDescent="0.25">
      <c r="A32" s="179" t="s">
        <v>141</v>
      </c>
      <c r="B32" s="348" t="s">
        <v>25</v>
      </c>
      <c r="C32" s="411"/>
      <c r="D32" s="69" t="s">
        <v>10</v>
      </c>
      <c r="E32" s="69" t="s">
        <v>10</v>
      </c>
      <c r="F32" s="127" t="s">
        <v>10</v>
      </c>
    </row>
    <row r="33" spans="1:6" x14ac:dyDescent="0.25">
      <c r="A33" s="49" t="s">
        <v>0</v>
      </c>
      <c r="B33" s="80" t="s">
        <v>207</v>
      </c>
      <c r="C33" s="54">
        <v>0.2</v>
      </c>
      <c r="D33" s="77">
        <f t="shared" ref="D33:D40" si="0">($D$25+D$30)*C33</f>
        <v>1011.64</v>
      </c>
      <c r="E33" s="77">
        <f t="shared" ref="E33:E40" si="1">($E$25+E$30)*C33</f>
        <v>1150.77</v>
      </c>
      <c r="F33" s="61">
        <f t="shared" ref="F33:F40" si="2">($F$25+F$30)*C33</f>
        <v>1011.64</v>
      </c>
    </row>
    <row r="34" spans="1:6" x14ac:dyDescent="0.25">
      <c r="A34" s="49" t="s">
        <v>2</v>
      </c>
      <c r="B34" s="80" t="s">
        <v>208</v>
      </c>
      <c r="C34" s="81">
        <v>1.4999999999999999E-2</v>
      </c>
      <c r="D34" s="77">
        <f t="shared" si="0"/>
        <v>75.87</v>
      </c>
      <c r="E34" s="77">
        <f t="shared" si="1"/>
        <v>86.31</v>
      </c>
      <c r="F34" s="61">
        <f t="shared" si="2"/>
        <v>75.87</v>
      </c>
    </row>
    <row r="35" spans="1:6" x14ac:dyDescent="0.25">
      <c r="A35" s="49" t="s">
        <v>3</v>
      </c>
      <c r="B35" s="80" t="s">
        <v>209</v>
      </c>
      <c r="C35" s="81">
        <v>0.01</v>
      </c>
      <c r="D35" s="77">
        <f t="shared" si="0"/>
        <v>50.58</v>
      </c>
      <c r="E35" s="77">
        <f t="shared" si="1"/>
        <v>57.54</v>
      </c>
      <c r="F35" s="61">
        <f t="shared" si="2"/>
        <v>50.58</v>
      </c>
    </row>
    <row r="36" spans="1:6" ht="31.5" x14ac:dyDescent="0.25">
      <c r="A36" s="49" t="s">
        <v>5</v>
      </c>
      <c r="B36" s="180" t="s">
        <v>210</v>
      </c>
      <c r="C36" s="81">
        <v>2E-3</v>
      </c>
      <c r="D36" s="77">
        <f t="shared" si="0"/>
        <v>10.119999999999999</v>
      </c>
      <c r="E36" s="77">
        <f t="shared" si="1"/>
        <v>11.51</v>
      </c>
      <c r="F36" s="61">
        <f t="shared" si="2"/>
        <v>10.119999999999999</v>
      </c>
    </row>
    <row r="37" spans="1:6" x14ac:dyDescent="0.25">
      <c r="A37" s="49" t="s">
        <v>20</v>
      </c>
      <c r="B37" s="80" t="s">
        <v>211</v>
      </c>
      <c r="C37" s="81">
        <v>2.5000000000000001E-2</v>
      </c>
      <c r="D37" s="77">
        <f t="shared" si="0"/>
        <v>126.45</v>
      </c>
      <c r="E37" s="77">
        <f t="shared" si="1"/>
        <v>143.85</v>
      </c>
      <c r="F37" s="61">
        <f t="shared" si="2"/>
        <v>126.45</v>
      </c>
    </row>
    <row r="38" spans="1:6" x14ac:dyDescent="0.25">
      <c r="A38" s="49" t="s">
        <v>21</v>
      </c>
      <c r="B38" s="107" t="s">
        <v>212</v>
      </c>
      <c r="C38" s="81">
        <v>0.08</v>
      </c>
      <c r="D38" s="77">
        <f t="shared" si="0"/>
        <v>404.66</v>
      </c>
      <c r="E38" s="77">
        <f t="shared" si="1"/>
        <v>460.31</v>
      </c>
      <c r="F38" s="61">
        <f t="shared" si="2"/>
        <v>404.66</v>
      </c>
    </row>
    <row r="39" spans="1:6" ht="47.25" x14ac:dyDescent="0.25">
      <c r="A39" s="49" t="s">
        <v>22</v>
      </c>
      <c r="B39" s="180" t="s">
        <v>213</v>
      </c>
      <c r="C39" s="81">
        <v>0.03</v>
      </c>
      <c r="D39" s="77">
        <f t="shared" si="0"/>
        <v>151.75</v>
      </c>
      <c r="E39" s="77">
        <f t="shared" si="1"/>
        <v>172.62</v>
      </c>
      <c r="F39" s="61">
        <f t="shared" si="2"/>
        <v>151.75</v>
      </c>
    </row>
    <row r="40" spans="1:6" x14ac:dyDescent="0.25">
      <c r="A40" s="49" t="s">
        <v>26</v>
      </c>
      <c r="B40" s="106" t="s">
        <v>214</v>
      </c>
      <c r="C40" s="81">
        <v>6.0000000000000001E-3</v>
      </c>
      <c r="D40" s="77">
        <f t="shared" si="0"/>
        <v>30.35</v>
      </c>
      <c r="E40" s="77">
        <f t="shared" si="1"/>
        <v>34.520000000000003</v>
      </c>
      <c r="F40" s="61">
        <f t="shared" si="2"/>
        <v>30.35</v>
      </c>
    </row>
    <row r="41" spans="1:6" s="30" customFormat="1" x14ac:dyDescent="0.25">
      <c r="A41" s="369" t="s">
        <v>27</v>
      </c>
      <c r="B41" s="370"/>
      <c r="C41" s="55">
        <f>SUM(C33:C40)</f>
        <v>0.36799999999999999</v>
      </c>
      <c r="D41" s="79">
        <f>SUM(D33:D40)</f>
        <v>1861.42</v>
      </c>
      <c r="E41" s="79">
        <f>SUM(E33:E40)</f>
        <v>2117.4299999999998</v>
      </c>
      <c r="F41" s="62">
        <f>SUM(F33:F40)</f>
        <v>1861.42</v>
      </c>
    </row>
    <row r="42" spans="1:6" s="30" customFormat="1" x14ac:dyDescent="0.25">
      <c r="A42" s="414" t="s">
        <v>173</v>
      </c>
      <c r="B42" s="415"/>
      <c r="C42" s="416"/>
      <c r="D42" s="279"/>
      <c r="E42" s="279"/>
      <c r="F42" s="280"/>
    </row>
    <row r="43" spans="1:6" s="30" customFormat="1" x14ac:dyDescent="0.25">
      <c r="A43" s="219" t="s">
        <v>216</v>
      </c>
      <c r="B43" s="412" t="s">
        <v>217</v>
      </c>
      <c r="C43" s="413"/>
      <c r="D43" s="104" t="s">
        <v>10</v>
      </c>
      <c r="E43" s="104" t="s">
        <v>10</v>
      </c>
      <c r="F43" s="140" t="s">
        <v>10</v>
      </c>
    </row>
    <row r="44" spans="1:6" s="30" customFormat="1" x14ac:dyDescent="0.25">
      <c r="A44" s="90" t="s">
        <v>0</v>
      </c>
      <c r="B44" s="222" t="s">
        <v>144</v>
      </c>
      <c r="C44" s="105"/>
      <c r="D44" s="101">
        <v>0</v>
      </c>
      <c r="E44" s="101">
        <v>0</v>
      </c>
      <c r="F44" s="101">
        <v>0</v>
      </c>
    </row>
    <row r="45" spans="1:6" s="30" customFormat="1" x14ac:dyDescent="0.25">
      <c r="A45" s="47" t="s">
        <v>2</v>
      </c>
      <c r="B45" s="183" t="s">
        <v>191</v>
      </c>
      <c r="C45" s="72">
        <v>581.85</v>
      </c>
      <c r="D45" s="74">
        <f>C45-(C45*0.99%)</f>
        <v>576.09</v>
      </c>
      <c r="E45" s="74">
        <f>C45-(C45*0.99%)</f>
        <v>576.09</v>
      </c>
      <c r="F45" s="58">
        <f>C45-(C45*0.99%)</f>
        <v>576.09</v>
      </c>
    </row>
    <row r="46" spans="1:6" s="30" customFormat="1" x14ac:dyDescent="0.25">
      <c r="A46" s="49" t="s">
        <v>3</v>
      </c>
      <c r="B46" s="182" t="s">
        <v>134</v>
      </c>
      <c r="C46" s="66"/>
      <c r="D46" s="84">
        <v>0</v>
      </c>
      <c r="E46" s="84">
        <v>0</v>
      </c>
      <c r="F46" s="63">
        <v>0</v>
      </c>
    </row>
    <row r="47" spans="1:6" s="30" customFormat="1" x14ac:dyDescent="0.25">
      <c r="A47" s="49" t="s">
        <v>5</v>
      </c>
      <c r="B47" s="182" t="s">
        <v>135</v>
      </c>
      <c r="C47" s="54">
        <v>0.5</v>
      </c>
      <c r="D47" s="84">
        <f>(D18*C47*0.0199*2)/12</f>
        <v>5.39</v>
      </c>
      <c r="E47" s="84">
        <f>(E18*C47*0.0199*2)/12</f>
        <v>6.26</v>
      </c>
      <c r="F47" s="63">
        <f>(F18*C47*0.0199*2)/12</f>
        <v>5.39</v>
      </c>
    </row>
    <row r="48" spans="1:6" s="30" customFormat="1" x14ac:dyDescent="0.25">
      <c r="A48" s="49" t="s">
        <v>20</v>
      </c>
      <c r="B48" s="182" t="s">
        <v>136</v>
      </c>
      <c r="C48" s="66">
        <v>34733.21</v>
      </c>
      <c r="D48" s="77">
        <f>(C48*0.5%)/12</f>
        <v>14.47</v>
      </c>
      <c r="E48" s="77">
        <f>(C48*0.5%)/12</f>
        <v>14.47</v>
      </c>
      <c r="F48" s="61">
        <f>(C48*0.5%)/12</f>
        <v>14.47</v>
      </c>
    </row>
    <row r="49" spans="1:6" s="30" customFormat="1" ht="15.75" customHeight="1" x14ac:dyDescent="0.25">
      <c r="A49" s="369" t="s">
        <v>23</v>
      </c>
      <c r="B49" s="370"/>
      <c r="C49" s="370"/>
      <c r="D49" s="79">
        <f>SUM(D44:D48)</f>
        <v>595.95000000000005</v>
      </c>
      <c r="E49" s="79">
        <f>SUM(E44:E48)</f>
        <v>596.82000000000005</v>
      </c>
      <c r="F49" s="62">
        <f>SUM(F44:F48)</f>
        <v>595.95000000000005</v>
      </c>
    </row>
    <row r="50" spans="1:6" s="30" customFormat="1" ht="15.75" customHeight="1" x14ac:dyDescent="0.25">
      <c r="A50" s="414" t="s">
        <v>224</v>
      </c>
      <c r="B50" s="415"/>
      <c r="C50" s="416"/>
      <c r="D50" s="279"/>
      <c r="E50" s="279"/>
      <c r="F50" s="280"/>
    </row>
    <row r="51" spans="1:6" s="30" customFormat="1" ht="15.75" customHeight="1" x14ac:dyDescent="0.25">
      <c r="A51" s="175" t="s">
        <v>141</v>
      </c>
      <c r="B51" s="96" t="s">
        <v>145</v>
      </c>
      <c r="C51" s="176"/>
      <c r="D51" s="64">
        <f>D30</f>
        <v>823.27</v>
      </c>
      <c r="E51" s="64">
        <f>E30</f>
        <v>936.5</v>
      </c>
      <c r="F51" s="142">
        <f>F30</f>
        <v>823.27</v>
      </c>
    </row>
    <row r="52" spans="1:6" s="30" customFormat="1" ht="15.75" customHeight="1" x14ac:dyDescent="0.25">
      <c r="A52" s="175" t="s">
        <v>215</v>
      </c>
      <c r="B52" s="96" t="s">
        <v>146</v>
      </c>
      <c r="C52" s="176"/>
      <c r="D52" s="64">
        <f>D41</f>
        <v>1861.42</v>
      </c>
      <c r="E52" s="64">
        <f>E41</f>
        <v>2117.4299999999998</v>
      </c>
      <c r="F52" s="142">
        <f>F41</f>
        <v>1861.42</v>
      </c>
    </row>
    <row r="53" spans="1:6" s="30" customFormat="1" ht="15.75" customHeight="1" x14ac:dyDescent="0.25">
      <c r="A53" s="175" t="s">
        <v>216</v>
      </c>
      <c r="B53" s="96" t="s">
        <v>147</v>
      </c>
      <c r="C53" s="176"/>
      <c r="D53" s="64">
        <f>D49</f>
        <v>595.95000000000005</v>
      </c>
      <c r="E53" s="64">
        <f>E49</f>
        <v>596.82000000000005</v>
      </c>
      <c r="F53" s="142">
        <f>F49</f>
        <v>595.95000000000005</v>
      </c>
    </row>
    <row r="54" spans="1:6" s="30" customFormat="1" ht="15.75" customHeight="1" x14ac:dyDescent="0.25">
      <c r="A54" s="349" t="s">
        <v>153</v>
      </c>
      <c r="B54" s="350"/>
      <c r="C54" s="350"/>
      <c r="D54" s="65">
        <f>SUM(D51:D53)</f>
        <v>3280.64</v>
      </c>
      <c r="E54" s="65">
        <f>SUM(E51:E53)</f>
        <v>3650.75</v>
      </c>
      <c r="F54" s="60">
        <f>SUM(F51:F53)</f>
        <v>3280.64</v>
      </c>
    </row>
    <row r="55" spans="1:6" s="30" customFormat="1" ht="15.75" customHeight="1" x14ac:dyDescent="0.25">
      <c r="A55" s="408" t="s">
        <v>162</v>
      </c>
      <c r="B55" s="409"/>
      <c r="C55" s="410"/>
      <c r="D55" s="290"/>
      <c r="E55" s="290"/>
      <c r="F55" s="291"/>
    </row>
    <row r="56" spans="1:6" s="30" customFormat="1" ht="15.75" customHeight="1" x14ac:dyDescent="0.25">
      <c r="A56" s="181" t="s">
        <v>200</v>
      </c>
      <c r="B56" s="345" t="s">
        <v>32</v>
      </c>
      <c r="C56" s="346"/>
      <c r="D56" s="68" t="s">
        <v>10</v>
      </c>
      <c r="E56" s="68" t="s">
        <v>10</v>
      </c>
      <c r="F56" s="129" t="s">
        <v>10</v>
      </c>
    </row>
    <row r="57" spans="1:6" s="30" customFormat="1" ht="15.75" customHeight="1" x14ac:dyDescent="0.25">
      <c r="A57" s="49" t="s">
        <v>0</v>
      </c>
      <c r="B57" s="182" t="s">
        <v>33</v>
      </c>
      <c r="C57" s="54">
        <v>4.5999999999999999E-3</v>
      </c>
      <c r="D57" s="77">
        <f>D$25*C57</f>
        <v>19.48</v>
      </c>
      <c r="E57" s="77">
        <f>E$25*C57</f>
        <v>22.16</v>
      </c>
      <c r="F57" s="61">
        <f>F$25*C57</f>
        <v>19.48</v>
      </c>
    </row>
    <row r="58" spans="1:6" s="30" customFormat="1" ht="15.75" customHeight="1" x14ac:dyDescent="0.25">
      <c r="A58" s="49" t="s">
        <v>2</v>
      </c>
      <c r="B58" s="182" t="s">
        <v>34</v>
      </c>
      <c r="C58" s="54">
        <v>4.0000000000000002E-4</v>
      </c>
      <c r="D58" s="77">
        <f>D$25*C58</f>
        <v>1.69</v>
      </c>
      <c r="E58" s="77">
        <f>E$25*C58</f>
        <v>1.93</v>
      </c>
      <c r="F58" s="61">
        <f>F$25*C58</f>
        <v>1.69</v>
      </c>
    </row>
    <row r="59" spans="1:6" s="30" customFormat="1" ht="15.75" customHeight="1" x14ac:dyDescent="0.25">
      <c r="A59" s="49" t="s">
        <v>3</v>
      </c>
      <c r="B59" s="80" t="s">
        <v>35</v>
      </c>
      <c r="C59" s="54">
        <v>1.9400000000000001E-2</v>
      </c>
      <c r="D59" s="77">
        <f>D$25*C59</f>
        <v>82.16</v>
      </c>
      <c r="E59" s="77">
        <f>E$25*C59</f>
        <v>93.46</v>
      </c>
      <c r="F59" s="61">
        <f>F$25*C59</f>
        <v>82.16</v>
      </c>
    </row>
    <row r="60" spans="1:6" s="30" customFormat="1" ht="30.75" customHeight="1" x14ac:dyDescent="0.25">
      <c r="A60" s="49" t="s">
        <v>5</v>
      </c>
      <c r="B60" s="182" t="s">
        <v>174</v>
      </c>
      <c r="C60" s="54">
        <v>7.1000000000000004E-3</v>
      </c>
      <c r="D60" s="77">
        <f>D$25*C60</f>
        <v>30.07</v>
      </c>
      <c r="E60" s="77">
        <f>E$25*C60</f>
        <v>34.200000000000003</v>
      </c>
      <c r="F60" s="61">
        <f>F$25*C60</f>
        <v>30.07</v>
      </c>
    </row>
    <row r="61" spans="1:6" s="30" customFormat="1" ht="15.75" customHeight="1" x14ac:dyDescent="0.25">
      <c r="A61" s="49" t="s">
        <v>20</v>
      </c>
      <c r="B61" s="182" t="s">
        <v>149</v>
      </c>
      <c r="C61" s="54">
        <v>0.04</v>
      </c>
      <c r="D61" s="77">
        <f>D$25*C61</f>
        <v>169.4</v>
      </c>
      <c r="E61" s="77">
        <f>E$25*C61</f>
        <v>192.69</v>
      </c>
      <c r="F61" s="61">
        <f>F$25*C61</f>
        <v>169.4</v>
      </c>
    </row>
    <row r="62" spans="1:6" s="30" customFormat="1" x14ac:dyDescent="0.25">
      <c r="A62" s="349" t="s">
        <v>154</v>
      </c>
      <c r="B62" s="350"/>
      <c r="C62" s="350"/>
      <c r="D62" s="65">
        <f>SUM(D57:D61)</f>
        <v>302.8</v>
      </c>
      <c r="E62" s="65">
        <f>SUM(E57:E61)</f>
        <v>344.44</v>
      </c>
      <c r="F62" s="60">
        <f>SUM(F57:F61)</f>
        <v>302.8</v>
      </c>
    </row>
    <row r="63" spans="1:6" s="30" customFormat="1" x14ac:dyDescent="0.25">
      <c r="A63" s="408" t="s">
        <v>163</v>
      </c>
      <c r="B63" s="409"/>
      <c r="C63" s="410"/>
      <c r="D63" s="290"/>
      <c r="E63" s="290"/>
      <c r="F63" s="291"/>
    </row>
    <row r="64" spans="1:6" s="30" customFormat="1" x14ac:dyDescent="0.25">
      <c r="A64" s="181" t="s">
        <v>199</v>
      </c>
      <c r="B64" s="382" t="s">
        <v>198</v>
      </c>
      <c r="C64" s="382"/>
      <c r="D64" s="68" t="s">
        <v>10</v>
      </c>
      <c r="E64" s="68" t="s">
        <v>10</v>
      </c>
      <c r="F64" s="129" t="s">
        <v>10</v>
      </c>
    </row>
    <row r="65" spans="1:6" s="30" customFormat="1" x14ac:dyDescent="0.25">
      <c r="A65" s="49" t="s">
        <v>0</v>
      </c>
      <c r="B65" s="182" t="s">
        <v>192</v>
      </c>
      <c r="C65" s="54">
        <f>C29/12</f>
        <v>9.2999999999999992E-3</v>
      </c>
      <c r="D65" s="77">
        <f t="shared" ref="D65:D70" si="3">(D$25+D$54+D$62+D$85)*C65</f>
        <v>73.05</v>
      </c>
      <c r="E65" s="77">
        <f t="shared" ref="E65:E70" si="4">(E$25+E$54+E$62+E$85)*C65</f>
        <v>82.3</v>
      </c>
      <c r="F65" s="61">
        <f t="shared" ref="F65:F70" si="5">(F$25+F$54+F$62+F$85)*C65</f>
        <v>73.05</v>
      </c>
    </row>
    <row r="66" spans="1:6" s="30" customFormat="1" x14ac:dyDescent="0.25">
      <c r="A66" s="49" t="s">
        <v>2</v>
      </c>
      <c r="B66" s="182" t="s">
        <v>193</v>
      </c>
      <c r="C66" s="54">
        <v>1.66E-2</v>
      </c>
      <c r="D66" s="77">
        <f t="shared" si="3"/>
        <v>130.38999999999999</v>
      </c>
      <c r="E66" s="77">
        <f t="shared" si="4"/>
        <v>146.9</v>
      </c>
      <c r="F66" s="61">
        <f t="shared" si="5"/>
        <v>130.38999999999999</v>
      </c>
    </row>
    <row r="67" spans="1:6" s="30" customFormat="1" x14ac:dyDescent="0.25">
      <c r="A67" s="49" t="s">
        <v>3</v>
      </c>
      <c r="B67" s="182" t="s">
        <v>194</v>
      </c>
      <c r="C67" s="54">
        <v>2.0000000000000001E-4</v>
      </c>
      <c r="D67" s="77">
        <f t="shared" si="3"/>
        <v>1.57</v>
      </c>
      <c r="E67" s="77">
        <f t="shared" si="4"/>
        <v>1.77</v>
      </c>
      <c r="F67" s="61">
        <f t="shared" si="5"/>
        <v>1.57</v>
      </c>
    </row>
    <row r="68" spans="1:6" s="30" customFormat="1" x14ac:dyDescent="0.25">
      <c r="A68" s="49" t="s">
        <v>5</v>
      </c>
      <c r="B68" s="182" t="s">
        <v>195</v>
      </c>
      <c r="C68" s="54">
        <v>2.7000000000000001E-3</v>
      </c>
      <c r="D68" s="77">
        <f t="shared" si="3"/>
        <v>21.21</v>
      </c>
      <c r="E68" s="77">
        <f t="shared" si="4"/>
        <v>23.89</v>
      </c>
      <c r="F68" s="61">
        <f t="shared" si="5"/>
        <v>21.21</v>
      </c>
    </row>
    <row r="69" spans="1:6" s="30" customFormat="1" x14ac:dyDescent="0.25">
      <c r="A69" s="49" t="s">
        <v>20</v>
      </c>
      <c r="B69" s="182" t="s">
        <v>196</v>
      </c>
      <c r="C69" s="54">
        <v>2.9999999999999997E-4</v>
      </c>
      <c r="D69" s="77">
        <f t="shared" si="3"/>
        <v>2.36</v>
      </c>
      <c r="E69" s="77">
        <f t="shared" si="4"/>
        <v>2.65</v>
      </c>
      <c r="F69" s="61">
        <f t="shared" si="5"/>
        <v>2.36</v>
      </c>
    </row>
    <row r="70" spans="1:6" s="30" customFormat="1" ht="15.75" customHeight="1" x14ac:dyDescent="0.25">
      <c r="A70" s="49" t="s">
        <v>21</v>
      </c>
      <c r="B70" s="182" t="s">
        <v>197</v>
      </c>
      <c r="C70" s="54">
        <v>0</v>
      </c>
      <c r="D70" s="77">
        <f t="shared" si="3"/>
        <v>0</v>
      </c>
      <c r="E70" s="77">
        <f t="shared" si="4"/>
        <v>0</v>
      </c>
      <c r="F70" s="61">
        <f t="shared" si="5"/>
        <v>0</v>
      </c>
    </row>
    <row r="71" spans="1:6" s="30" customFormat="1" x14ac:dyDescent="0.25">
      <c r="A71" s="369" t="s">
        <v>29</v>
      </c>
      <c r="B71" s="370"/>
      <c r="C71" s="55">
        <f>SUM(C65:C70)</f>
        <v>2.9100000000000001E-2</v>
      </c>
      <c r="D71" s="79">
        <f>SUM(D65:D70)</f>
        <v>228.58</v>
      </c>
      <c r="E71" s="79">
        <f>SUM(E65:E70)</f>
        <v>257.51</v>
      </c>
      <c r="F71" s="62">
        <f>SUM(F65:F70)</f>
        <v>228.58</v>
      </c>
    </row>
    <row r="72" spans="1:6" s="30" customFormat="1" x14ac:dyDescent="0.25">
      <c r="A72" s="175"/>
      <c r="B72" s="176"/>
      <c r="C72" s="92"/>
      <c r="D72" s="74"/>
      <c r="E72" s="92"/>
      <c r="F72" s="58"/>
    </row>
    <row r="73" spans="1:6" s="30" customFormat="1" x14ac:dyDescent="0.25">
      <c r="A73" s="175"/>
      <c r="B73" s="371" t="s">
        <v>201</v>
      </c>
      <c r="C73" s="381"/>
      <c r="D73" s="68" t="s">
        <v>10</v>
      </c>
      <c r="E73" s="68" t="s">
        <v>10</v>
      </c>
      <c r="F73" s="129" t="s">
        <v>10</v>
      </c>
    </row>
    <row r="74" spans="1:6" s="30" customFormat="1" x14ac:dyDescent="0.25">
      <c r="A74" s="49" t="s">
        <v>0</v>
      </c>
      <c r="B74" s="182" t="s">
        <v>202</v>
      </c>
      <c r="C74" s="54">
        <v>0</v>
      </c>
      <c r="D74" s="77">
        <f>(D$25+D$54+D$62)*C74</f>
        <v>0</v>
      </c>
      <c r="E74" s="77">
        <f>(E$25+E$54+E$62)*C74</f>
        <v>0</v>
      </c>
      <c r="F74" s="61">
        <f>(F$25+F$54+F$62)*C74</f>
        <v>0</v>
      </c>
    </row>
    <row r="75" spans="1:6" s="30" customFormat="1" ht="15.75" customHeight="1" x14ac:dyDescent="0.25">
      <c r="A75" s="369" t="s">
        <v>27</v>
      </c>
      <c r="B75" s="370"/>
      <c r="C75" s="93">
        <f>C74</f>
        <v>0</v>
      </c>
      <c r="D75" s="79">
        <f>D74</f>
        <v>0</v>
      </c>
      <c r="E75" s="79">
        <f>E74</f>
        <v>0</v>
      </c>
      <c r="F75" s="62">
        <f>F74</f>
        <v>0</v>
      </c>
    </row>
    <row r="76" spans="1:6" s="30" customFormat="1" ht="15.75" customHeight="1" x14ac:dyDescent="0.25">
      <c r="A76" s="414" t="s">
        <v>30</v>
      </c>
      <c r="B76" s="415"/>
      <c r="C76" s="416"/>
      <c r="D76" s="279"/>
      <c r="E76" s="279"/>
      <c r="F76" s="280"/>
    </row>
    <row r="77" spans="1:6" s="30" customFormat="1" ht="15.75" customHeight="1" x14ac:dyDescent="0.25">
      <c r="A77" s="417" t="s">
        <v>203</v>
      </c>
      <c r="B77" s="418"/>
      <c r="C77" s="419"/>
      <c r="D77" s="98"/>
      <c r="E77" s="98"/>
      <c r="F77" s="292"/>
    </row>
    <row r="78" spans="1:6" s="30" customFormat="1" ht="15.75" customHeight="1" x14ac:dyDescent="0.25">
      <c r="A78" s="181">
        <v>4</v>
      </c>
      <c r="B78" s="345" t="s">
        <v>31</v>
      </c>
      <c r="C78" s="346"/>
      <c r="D78" s="68" t="s">
        <v>10</v>
      </c>
      <c r="E78" s="68" t="s">
        <v>10</v>
      </c>
      <c r="F78" s="129" t="s">
        <v>10</v>
      </c>
    </row>
    <row r="79" spans="1:6" s="30" customFormat="1" ht="15.75" customHeight="1" x14ac:dyDescent="0.25">
      <c r="A79" s="49" t="s">
        <v>199</v>
      </c>
      <c r="B79" s="182" t="s">
        <v>198</v>
      </c>
      <c r="C79" s="54">
        <f>C71</f>
        <v>2.9100000000000001E-2</v>
      </c>
      <c r="D79" s="77">
        <f>D71</f>
        <v>228.58</v>
      </c>
      <c r="E79" s="77">
        <f>E71</f>
        <v>257.51</v>
      </c>
      <c r="F79" s="61">
        <f>F71</f>
        <v>228.58</v>
      </c>
    </row>
    <row r="80" spans="1:6" s="30" customFormat="1" ht="15.75" customHeight="1" x14ac:dyDescent="0.25">
      <c r="A80" s="49" t="s">
        <v>221</v>
      </c>
      <c r="B80" s="182" t="s">
        <v>201</v>
      </c>
      <c r="C80" s="54">
        <v>0</v>
      </c>
      <c r="D80" s="77">
        <f>(D$25+D$54+D$62)*C80</f>
        <v>0</v>
      </c>
      <c r="E80" s="77">
        <f>(E$25+E$54+E$62)*C80</f>
        <v>0</v>
      </c>
      <c r="F80" s="61">
        <f>(F$25+F$54+F$62)*C80</f>
        <v>0</v>
      </c>
    </row>
    <row r="81" spans="1:6" s="30" customFormat="1" ht="15.75" customHeight="1" x14ac:dyDescent="0.25">
      <c r="A81" s="369" t="s">
        <v>27</v>
      </c>
      <c r="B81" s="370"/>
      <c r="C81" s="91">
        <f>SUM(C79:C80)</f>
        <v>2.9100000000000001E-2</v>
      </c>
      <c r="D81" s="79">
        <f>SUM(D79:D80)</f>
        <v>228.58</v>
      </c>
      <c r="E81" s="79">
        <f>SUM(E79:E80)</f>
        <v>257.51</v>
      </c>
      <c r="F81" s="62">
        <f>SUM(F79:F80)</f>
        <v>228.58</v>
      </c>
    </row>
    <row r="82" spans="1:6" s="30" customFormat="1" ht="15.75" customHeight="1" x14ac:dyDescent="0.25">
      <c r="A82" s="349" t="s">
        <v>155</v>
      </c>
      <c r="B82" s="350"/>
      <c r="C82" s="350"/>
      <c r="D82" s="65">
        <f>SUM(D75+D81)</f>
        <v>228.58</v>
      </c>
      <c r="E82" s="65">
        <f>SUM(E75+E81)</f>
        <v>257.51</v>
      </c>
      <c r="F82" s="60">
        <f>SUM(F75+F81)</f>
        <v>228.58</v>
      </c>
    </row>
    <row r="83" spans="1:6" s="30" customFormat="1" ht="15.75" customHeight="1" x14ac:dyDescent="0.25">
      <c r="A83" s="408" t="s">
        <v>164</v>
      </c>
      <c r="B83" s="409"/>
      <c r="C83" s="410"/>
      <c r="D83" s="290"/>
      <c r="E83" s="290"/>
      <c r="F83" s="291"/>
    </row>
    <row r="84" spans="1:6" s="30" customFormat="1" ht="15.75" customHeight="1" x14ac:dyDescent="0.25">
      <c r="A84" s="181">
        <v>5</v>
      </c>
      <c r="B84" s="345" t="s">
        <v>24</v>
      </c>
      <c r="C84" s="346"/>
      <c r="D84" s="68" t="s">
        <v>10</v>
      </c>
      <c r="E84" s="68" t="s">
        <v>10</v>
      </c>
      <c r="F84" s="129" t="s">
        <v>10</v>
      </c>
    </row>
    <row r="85" spans="1:6" s="30" customFormat="1" ht="15.75" customHeight="1" x14ac:dyDescent="0.25">
      <c r="A85" s="47" t="s">
        <v>0</v>
      </c>
      <c r="B85" s="344" t="s">
        <v>222</v>
      </c>
      <c r="C85" s="344"/>
      <c r="D85" s="77">
        <f>Uniformes!H7</f>
        <v>36.619999999999997</v>
      </c>
      <c r="E85" s="77">
        <f>Uniformes!H7</f>
        <v>36.619999999999997</v>
      </c>
      <c r="F85" s="61">
        <f>Uniformes!H7</f>
        <v>36.619999999999997</v>
      </c>
    </row>
    <row r="86" spans="1:6" s="30" customFormat="1" ht="15.75" customHeight="1" x14ac:dyDescent="0.25">
      <c r="A86" s="47" t="s">
        <v>2</v>
      </c>
      <c r="B86" s="344" t="s">
        <v>223</v>
      </c>
      <c r="C86" s="344"/>
      <c r="D86" s="77">
        <f>Materiais!H18</f>
        <v>64.819999999999993</v>
      </c>
      <c r="E86" s="77">
        <f>Materiais!H19</f>
        <v>44.57</v>
      </c>
      <c r="F86" s="61">
        <f>Materiais!H20</f>
        <v>44.57</v>
      </c>
    </row>
    <row r="87" spans="1:6" s="30" customFormat="1" ht="15.75" customHeight="1" x14ac:dyDescent="0.25">
      <c r="A87" s="47" t="s">
        <v>3</v>
      </c>
      <c r="B87" s="344" t="s">
        <v>187</v>
      </c>
      <c r="C87" s="344"/>
      <c r="D87" s="77">
        <f>Equipamentos!H18</f>
        <v>1312.5</v>
      </c>
      <c r="E87" s="77">
        <f>Equipamentos!H19</f>
        <v>922.4</v>
      </c>
      <c r="F87" s="61">
        <f>Equipamentos!H20</f>
        <v>922.4</v>
      </c>
    </row>
    <row r="88" spans="1:6" s="30" customFormat="1" ht="15.75" customHeight="1" x14ac:dyDescent="0.25">
      <c r="A88" s="47" t="s">
        <v>5</v>
      </c>
      <c r="B88" s="344" t="s">
        <v>137</v>
      </c>
      <c r="C88" s="344"/>
      <c r="D88" s="77">
        <v>0</v>
      </c>
      <c r="E88" s="77">
        <v>0</v>
      </c>
      <c r="F88" s="61">
        <v>0</v>
      </c>
    </row>
    <row r="89" spans="1:6" s="30" customFormat="1" ht="15.75" customHeight="1" x14ac:dyDescent="0.25">
      <c r="A89" s="349" t="s">
        <v>156</v>
      </c>
      <c r="B89" s="350"/>
      <c r="C89" s="350"/>
      <c r="D89" s="65">
        <f>SUM(D85:D88)</f>
        <v>1413.94</v>
      </c>
      <c r="E89" s="65">
        <f>SUM(E85:E88)</f>
        <v>1003.59</v>
      </c>
      <c r="F89" s="60">
        <f>SUM(F85:F88)</f>
        <v>1003.59</v>
      </c>
    </row>
    <row r="90" spans="1:6" s="30" customFormat="1" ht="30" customHeight="1" x14ac:dyDescent="0.25">
      <c r="A90" s="347" t="s">
        <v>225</v>
      </c>
      <c r="B90" s="348"/>
      <c r="C90" s="348"/>
      <c r="D90" s="120">
        <f>D89+D82+D62+D54+D25</f>
        <v>9460.8799999999992</v>
      </c>
      <c r="E90" s="120">
        <f>E89+E82+E62+E54+E25</f>
        <v>10073.66</v>
      </c>
      <c r="F90" s="148">
        <f>F89+F82+F62+F54+F25</f>
        <v>9050.5300000000007</v>
      </c>
    </row>
    <row r="91" spans="1:6" s="30" customFormat="1" ht="19.5" customHeight="1" x14ac:dyDescent="0.25">
      <c r="A91" s="408" t="s">
        <v>165</v>
      </c>
      <c r="B91" s="409"/>
      <c r="C91" s="410"/>
      <c r="D91" s="290"/>
      <c r="E91" s="290"/>
      <c r="F91" s="291"/>
    </row>
    <row r="92" spans="1:6" s="30" customFormat="1" x14ac:dyDescent="0.25">
      <c r="A92" s="181">
        <v>6</v>
      </c>
      <c r="B92" s="345" t="s">
        <v>38</v>
      </c>
      <c r="C92" s="363"/>
      <c r="D92" s="68" t="s">
        <v>10</v>
      </c>
      <c r="E92" s="68" t="s">
        <v>10</v>
      </c>
      <c r="F92" s="129" t="s">
        <v>10</v>
      </c>
    </row>
    <row r="93" spans="1:6" s="30" customFormat="1" x14ac:dyDescent="0.25">
      <c r="A93" s="181" t="s">
        <v>0</v>
      </c>
      <c r="B93" s="182" t="s">
        <v>39</v>
      </c>
      <c r="C93" s="54">
        <v>0.03</v>
      </c>
      <c r="D93" s="77">
        <f>+D90*C93</f>
        <v>283.83</v>
      </c>
      <c r="E93" s="77">
        <f>+E90*C93</f>
        <v>302.20999999999998</v>
      </c>
      <c r="F93" s="61">
        <f>+F90*C93</f>
        <v>271.52</v>
      </c>
    </row>
    <row r="94" spans="1:6" s="30" customFormat="1" x14ac:dyDescent="0.25">
      <c r="A94" s="181" t="s">
        <v>2</v>
      </c>
      <c r="B94" s="182" t="s">
        <v>40</v>
      </c>
      <c r="C94" s="54">
        <v>6.7900000000000002E-2</v>
      </c>
      <c r="D94" s="77">
        <f>C94*(+D90+D93)</f>
        <v>661.67</v>
      </c>
      <c r="E94" s="77">
        <f>C94*(+E90+E93)</f>
        <v>704.52</v>
      </c>
      <c r="F94" s="61">
        <f>C94*(+F90+F93)</f>
        <v>632.97</v>
      </c>
    </row>
    <row r="95" spans="1:6" s="30" customFormat="1" ht="31.5" x14ac:dyDescent="0.25">
      <c r="A95" s="375" t="s">
        <v>3</v>
      </c>
      <c r="B95" s="182" t="s">
        <v>50</v>
      </c>
      <c r="C95" s="54">
        <f>1-C103</f>
        <v>0.85750000000000004</v>
      </c>
      <c r="D95" s="77">
        <f>+D90+D93+D94</f>
        <v>10406.379999999999</v>
      </c>
      <c r="E95" s="77">
        <f>+E90+E93+E94</f>
        <v>11080.39</v>
      </c>
      <c r="F95" s="61">
        <f>+F90+F93+F94</f>
        <v>9955.02</v>
      </c>
    </row>
    <row r="96" spans="1:6" s="30" customFormat="1" x14ac:dyDescent="0.25">
      <c r="A96" s="375"/>
      <c r="B96" s="182" t="s">
        <v>41</v>
      </c>
      <c r="C96" s="88"/>
      <c r="D96" s="121">
        <f>+D95/C95</f>
        <v>12135.72</v>
      </c>
      <c r="E96" s="121">
        <f>+E95/C95</f>
        <v>12921.74</v>
      </c>
      <c r="F96" s="149">
        <f>+F95/C95</f>
        <v>11609.35</v>
      </c>
    </row>
    <row r="97" spans="1:6" s="30" customFormat="1" x14ac:dyDescent="0.25">
      <c r="A97" s="375"/>
      <c r="B97" s="182" t="s">
        <v>42</v>
      </c>
      <c r="C97" s="67"/>
      <c r="D97" s="77"/>
      <c r="E97" s="77"/>
      <c r="F97" s="61"/>
    </row>
    <row r="98" spans="1:6" s="30" customFormat="1" x14ac:dyDescent="0.25">
      <c r="A98" s="375"/>
      <c r="B98" s="182" t="s">
        <v>130</v>
      </c>
      <c r="C98" s="54">
        <v>1.6500000000000001E-2</v>
      </c>
      <c r="D98" s="77">
        <f>+D96*C98</f>
        <v>200.24</v>
      </c>
      <c r="E98" s="77">
        <f>+E96*C98</f>
        <v>213.21</v>
      </c>
      <c r="F98" s="61">
        <f>+F96*C98</f>
        <v>191.55</v>
      </c>
    </row>
    <row r="99" spans="1:6" s="30" customFormat="1" x14ac:dyDescent="0.25">
      <c r="A99" s="375"/>
      <c r="B99" s="182" t="s">
        <v>131</v>
      </c>
      <c r="C99" s="54">
        <v>7.5999999999999998E-2</v>
      </c>
      <c r="D99" s="77">
        <f>+D96*C99</f>
        <v>922.31</v>
      </c>
      <c r="E99" s="77">
        <f>+E96*C99</f>
        <v>982.05</v>
      </c>
      <c r="F99" s="61">
        <f>+F96*C99</f>
        <v>882.31</v>
      </c>
    </row>
    <row r="100" spans="1:6" s="30" customFormat="1" x14ac:dyDescent="0.25">
      <c r="A100" s="375"/>
      <c r="B100" s="221" t="s">
        <v>43</v>
      </c>
      <c r="C100" s="88"/>
      <c r="D100" s="77"/>
      <c r="E100" s="77"/>
      <c r="F100" s="61"/>
    </row>
    <row r="101" spans="1:6" s="30" customFormat="1" x14ac:dyDescent="0.25">
      <c r="A101" s="375"/>
      <c r="B101" s="221" t="s">
        <v>44</v>
      </c>
      <c r="C101" s="94"/>
      <c r="D101" s="77"/>
      <c r="E101" s="77"/>
      <c r="F101" s="61"/>
    </row>
    <row r="102" spans="1:6" s="30" customFormat="1" x14ac:dyDescent="0.25">
      <c r="A102" s="375"/>
      <c r="B102" s="182" t="s">
        <v>142</v>
      </c>
      <c r="C102" s="54">
        <v>0.05</v>
      </c>
      <c r="D102" s="77">
        <f>+D96*C102</f>
        <v>606.79</v>
      </c>
      <c r="E102" s="77">
        <f>+E96*C102</f>
        <v>646.09</v>
      </c>
      <c r="F102" s="61">
        <f>+F96*C102</f>
        <v>580.47</v>
      </c>
    </row>
    <row r="103" spans="1:6" s="30" customFormat="1" x14ac:dyDescent="0.25">
      <c r="A103" s="181"/>
      <c r="B103" s="107" t="s">
        <v>45</v>
      </c>
      <c r="C103" s="99">
        <f>SUM(C98:C102)</f>
        <v>0.14249999999999999</v>
      </c>
      <c r="D103" s="100">
        <f>SUM(D98:D102)</f>
        <v>1729.34</v>
      </c>
      <c r="E103" s="100">
        <f>SUM(E98:E102)</f>
        <v>1841.35</v>
      </c>
      <c r="F103" s="145">
        <f>SUM(F98:F102)</f>
        <v>1654.33</v>
      </c>
    </row>
    <row r="104" spans="1:6" s="30" customFormat="1" ht="15.75" customHeight="1" x14ac:dyDescent="0.25">
      <c r="A104" s="369" t="s">
        <v>46</v>
      </c>
      <c r="B104" s="370"/>
      <c r="C104" s="370"/>
      <c r="D104" s="79">
        <f>+D93+D94+D103</f>
        <v>2674.84</v>
      </c>
      <c r="E104" s="79">
        <f>+E93+E94+E103</f>
        <v>2848.08</v>
      </c>
      <c r="F104" s="62">
        <f>+F93+F94+F103</f>
        <v>2558.8200000000002</v>
      </c>
    </row>
    <row r="105" spans="1:6" s="30" customFormat="1" ht="15.75" customHeight="1" x14ac:dyDescent="0.25">
      <c r="A105" s="420" t="s">
        <v>47</v>
      </c>
      <c r="B105" s="421"/>
      <c r="C105" s="421"/>
      <c r="D105" s="122" t="s">
        <v>10</v>
      </c>
      <c r="E105" s="122" t="s">
        <v>10</v>
      </c>
      <c r="F105" s="150" t="s">
        <v>10</v>
      </c>
    </row>
    <row r="106" spans="1:6" s="30" customFormat="1" x14ac:dyDescent="0.25">
      <c r="A106" s="49" t="s">
        <v>0</v>
      </c>
      <c r="B106" s="378" t="s">
        <v>48</v>
      </c>
      <c r="C106" s="378"/>
      <c r="D106" s="77">
        <f>+D25</f>
        <v>4234.92</v>
      </c>
      <c r="E106" s="77">
        <f>+E25</f>
        <v>4817.37</v>
      </c>
      <c r="F106" s="61">
        <f>+F25</f>
        <v>4234.92</v>
      </c>
    </row>
    <row r="107" spans="1:6" s="30" customFormat="1" x14ac:dyDescent="0.25">
      <c r="A107" s="49" t="s">
        <v>2</v>
      </c>
      <c r="B107" s="378" t="s">
        <v>159</v>
      </c>
      <c r="C107" s="378"/>
      <c r="D107" s="77">
        <f>+D54</f>
        <v>3280.64</v>
      </c>
      <c r="E107" s="77">
        <f>+E54</f>
        <v>3650.75</v>
      </c>
      <c r="F107" s="61">
        <f>+F54</f>
        <v>3280.64</v>
      </c>
    </row>
    <row r="108" spans="1:6" s="30" customFormat="1" x14ac:dyDescent="0.25">
      <c r="A108" s="49" t="s">
        <v>3</v>
      </c>
      <c r="B108" s="378" t="s">
        <v>157</v>
      </c>
      <c r="C108" s="378"/>
      <c r="D108" s="77">
        <f>D62</f>
        <v>302.8</v>
      </c>
      <c r="E108" s="77">
        <f>E62</f>
        <v>344.44</v>
      </c>
      <c r="F108" s="61">
        <f>F62</f>
        <v>302.8</v>
      </c>
    </row>
    <row r="109" spans="1:6" s="30" customFormat="1" x14ac:dyDescent="0.25">
      <c r="A109" s="49" t="s">
        <v>5</v>
      </c>
      <c r="B109" s="378" t="s">
        <v>150</v>
      </c>
      <c r="C109" s="378"/>
      <c r="D109" s="77">
        <f>D82</f>
        <v>228.58</v>
      </c>
      <c r="E109" s="77">
        <f>E82</f>
        <v>257.51</v>
      </c>
      <c r="F109" s="61">
        <f>F82</f>
        <v>228.58</v>
      </c>
    </row>
    <row r="110" spans="1:6" s="30" customFormat="1" x14ac:dyDescent="0.25">
      <c r="A110" s="49" t="s">
        <v>20</v>
      </c>
      <c r="B110" s="378" t="s">
        <v>158</v>
      </c>
      <c r="C110" s="378"/>
      <c r="D110" s="77">
        <f>D89</f>
        <v>1413.94</v>
      </c>
      <c r="E110" s="77">
        <f>E89</f>
        <v>1003.59</v>
      </c>
      <c r="F110" s="61">
        <f>F89</f>
        <v>1003.59</v>
      </c>
    </row>
    <row r="111" spans="1:6" s="30" customFormat="1" ht="15.75" customHeight="1" x14ac:dyDescent="0.25">
      <c r="A111" s="375" t="s">
        <v>160</v>
      </c>
      <c r="B111" s="372"/>
      <c r="C111" s="372"/>
      <c r="D111" s="100">
        <f>SUM(D106:D110)</f>
        <v>9460.8799999999992</v>
      </c>
      <c r="E111" s="100">
        <f>SUM(E106:E110)</f>
        <v>10073.66</v>
      </c>
      <c r="F111" s="145">
        <f>SUM(F106:F110)</f>
        <v>9050.5300000000007</v>
      </c>
    </row>
    <row r="112" spans="1:6" s="30" customFormat="1" x14ac:dyDescent="0.25">
      <c r="A112" s="181" t="s">
        <v>20</v>
      </c>
      <c r="B112" s="378" t="s">
        <v>161</v>
      </c>
      <c r="C112" s="378"/>
      <c r="D112" s="77">
        <f>+D104</f>
        <v>2674.84</v>
      </c>
      <c r="E112" s="77">
        <f>+E104</f>
        <v>2848.08</v>
      </c>
      <c r="F112" s="61">
        <f>+F104</f>
        <v>2558.8200000000002</v>
      </c>
    </row>
    <row r="113" spans="1:6" s="30" customFormat="1" ht="16.5" customHeight="1" thickBot="1" x14ac:dyDescent="0.3">
      <c r="A113" s="361" t="s">
        <v>49</v>
      </c>
      <c r="B113" s="362"/>
      <c r="C113" s="362"/>
      <c r="D113" s="123">
        <f>+D111+D112</f>
        <v>12135.72</v>
      </c>
      <c r="E113" s="123">
        <f>+E111+E112</f>
        <v>12921.74</v>
      </c>
      <c r="F113" s="151">
        <f>+F111+F112</f>
        <v>11609.35</v>
      </c>
    </row>
    <row r="114" spans="1:6" x14ac:dyDescent="0.25">
      <c r="C114" s="31"/>
      <c r="D114" s="31"/>
      <c r="E114" s="31"/>
      <c r="F114" s="33"/>
    </row>
    <row r="115" spans="1:6" x14ac:dyDescent="0.25">
      <c r="B115" s="28"/>
      <c r="C115" s="31"/>
      <c r="D115" s="31"/>
      <c r="E115" s="31"/>
      <c r="F115" s="34"/>
    </row>
    <row r="116" spans="1:6" x14ac:dyDescent="0.25">
      <c r="B116" s="28"/>
      <c r="C116" s="31"/>
      <c r="D116" s="31"/>
      <c r="E116" s="31"/>
      <c r="F116" s="34" t="s">
        <v>129</v>
      </c>
    </row>
    <row r="117" spans="1:6" x14ac:dyDescent="0.25">
      <c r="B117" s="28"/>
      <c r="C117" s="374"/>
      <c r="D117" s="374"/>
      <c r="E117" s="374"/>
      <c r="F117" s="374"/>
    </row>
    <row r="118" spans="1:6" x14ac:dyDescent="0.25">
      <c r="B118" s="28"/>
      <c r="C118" s="31"/>
      <c r="D118" s="31"/>
      <c r="E118" s="31"/>
      <c r="F118" s="35"/>
    </row>
    <row r="120" spans="1:6" x14ac:dyDescent="0.25">
      <c r="B120" s="36"/>
    </row>
    <row r="125" spans="1:6" x14ac:dyDescent="0.25">
      <c r="B125" s="28"/>
    </row>
  </sheetData>
  <mergeCells count="66">
    <mergeCell ref="B78:C78"/>
    <mergeCell ref="A81:B81"/>
    <mergeCell ref="A76:C76"/>
    <mergeCell ref="A62:C62"/>
    <mergeCell ref="B64:C64"/>
    <mergeCell ref="A55:C55"/>
    <mergeCell ref="A63:C63"/>
    <mergeCell ref="B73:C73"/>
    <mergeCell ref="C117:F117"/>
    <mergeCell ref="A95:A102"/>
    <mergeCell ref="A104:C104"/>
    <mergeCell ref="A105:C105"/>
    <mergeCell ref="B106:C106"/>
    <mergeCell ref="B107:C107"/>
    <mergeCell ref="B108:C108"/>
    <mergeCell ref="A111:C111"/>
    <mergeCell ref="B112:C112"/>
    <mergeCell ref="A113:C113"/>
    <mergeCell ref="B109:C109"/>
    <mergeCell ref="B110:C110"/>
    <mergeCell ref="A75:B75"/>
    <mergeCell ref="A50:C50"/>
    <mergeCell ref="B92:C92"/>
    <mergeCell ref="B86:C86"/>
    <mergeCell ref="B87:C87"/>
    <mergeCell ref="B88:C88"/>
    <mergeCell ref="B84:C84"/>
    <mergeCell ref="A89:C89"/>
    <mergeCell ref="A90:C90"/>
    <mergeCell ref="B85:C85"/>
    <mergeCell ref="A82:C82"/>
    <mergeCell ref="A77:C77"/>
    <mergeCell ref="A83:C83"/>
    <mergeCell ref="A91:C91"/>
    <mergeCell ref="A71:B71"/>
    <mergeCell ref="A54:C54"/>
    <mergeCell ref="B56:C56"/>
    <mergeCell ref="A30:B30"/>
    <mergeCell ref="A26:C26"/>
    <mergeCell ref="B32:C32"/>
    <mergeCell ref="A41:B41"/>
    <mergeCell ref="A49:C49"/>
    <mergeCell ref="B43:C43"/>
    <mergeCell ref="A42:C42"/>
    <mergeCell ref="A31:F31"/>
    <mergeCell ref="B27:C27"/>
    <mergeCell ref="C5:F5"/>
    <mergeCell ref="A1:F1"/>
    <mergeCell ref="A2:F2"/>
    <mergeCell ref="A3:F3"/>
    <mergeCell ref="C4:F4"/>
    <mergeCell ref="A11:C11"/>
    <mergeCell ref="C12:F12"/>
    <mergeCell ref="C6:F6"/>
    <mergeCell ref="C7:F7"/>
    <mergeCell ref="A8:F8"/>
    <mergeCell ref="A9:F9"/>
    <mergeCell ref="A10:F10"/>
    <mergeCell ref="D11:F11"/>
    <mergeCell ref="B17:C17"/>
    <mergeCell ref="A25:C25"/>
    <mergeCell ref="C13:D13"/>
    <mergeCell ref="E13:F13"/>
    <mergeCell ref="C14:F14"/>
    <mergeCell ref="C15:F15"/>
    <mergeCell ref="A16:C16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view="pageBreakPreview" topLeftCell="A13" zoomScaleNormal="115" zoomScaleSheetLayoutView="100" workbookViewId="0">
      <selection activeCell="A32" sqref="A32:A37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5" width="15.7109375" style="32" customWidth="1"/>
    <col min="6" max="6" width="15.7109375" style="37" customWidth="1"/>
    <col min="7" max="7" width="9.140625" style="28" customWidth="1"/>
    <col min="8" max="16384" width="9.140625" style="28"/>
  </cols>
  <sheetData>
    <row r="1" spans="1:6" x14ac:dyDescent="0.25">
      <c r="A1" s="385"/>
      <c r="B1" s="386"/>
      <c r="C1" s="386"/>
      <c r="D1" s="386"/>
      <c r="E1" s="386"/>
      <c r="F1" s="387"/>
    </row>
    <row r="2" spans="1:6" s="38" customFormat="1" ht="16.5" customHeight="1" x14ac:dyDescent="0.25">
      <c r="A2" s="358" t="s">
        <v>132</v>
      </c>
      <c r="B2" s="359"/>
      <c r="C2" s="359"/>
      <c r="D2" s="359"/>
      <c r="E2" s="359"/>
      <c r="F2" s="360"/>
    </row>
    <row r="3" spans="1:6" s="38" customFormat="1" x14ac:dyDescent="0.25">
      <c r="A3" s="355" t="s">
        <v>129</v>
      </c>
      <c r="B3" s="356"/>
      <c r="C3" s="356"/>
      <c r="D3" s="356"/>
      <c r="E3" s="356"/>
      <c r="F3" s="357"/>
    </row>
    <row r="4" spans="1:6" s="38" customFormat="1" ht="15" customHeight="1" x14ac:dyDescent="0.25">
      <c r="A4" s="40" t="s">
        <v>0</v>
      </c>
      <c r="B4" s="41" t="s">
        <v>1</v>
      </c>
      <c r="C4" s="392">
        <v>2024</v>
      </c>
      <c r="D4" s="392"/>
      <c r="E4" s="392"/>
      <c r="F4" s="393"/>
    </row>
    <row r="5" spans="1:6" s="38" customFormat="1" ht="60" customHeight="1" x14ac:dyDescent="0.25">
      <c r="A5" s="40" t="s">
        <v>2</v>
      </c>
      <c r="B5" s="41" t="s">
        <v>140</v>
      </c>
      <c r="C5" s="394" t="s">
        <v>268</v>
      </c>
      <c r="D5" s="394"/>
      <c r="E5" s="394"/>
      <c r="F5" s="395"/>
    </row>
    <row r="6" spans="1:6" s="38" customFormat="1" ht="15.75" customHeight="1" x14ac:dyDescent="0.25">
      <c r="A6" s="40" t="s">
        <v>3</v>
      </c>
      <c r="B6" s="41" t="s">
        <v>4</v>
      </c>
      <c r="C6" s="394" t="s">
        <v>274</v>
      </c>
      <c r="D6" s="394"/>
      <c r="E6" s="394"/>
      <c r="F6" s="395"/>
    </row>
    <row r="7" spans="1:6" s="38" customFormat="1" x14ac:dyDescent="0.25">
      <c r="A7" s="40" t="s">
        <v>5</v>
      </c>
      <c r="B7" s="41" t="s">
        <v>143</v>
      </c>
      <c r="C7" s="394">
        <v>12</v>
      </c>
      <c r="D7" s="394"/>
      <c r="E7" s="394"/>
      <c r="F7" s="395"/>
    </row>
    <row r="8" spans="1:6" s="38" customFormat="1" x14ac:dyDescent="0.25">
      <c r="A8" s="355" t="s">
        <v>6</v>
      </c>
      <c r="B8" s="356"/>
      <c r="C8" s="356"/>
      <c r="D8" s="356"/>
      <c r="E8" s="356"/>
      <c r="F8" s="357"/>
    </row>
    <row r="9" spans="1:6" s="38" customFormat="1" x14ac:dyDescent="0.25">
      <c r="A9" s="355" t="s">
        <v>7</v>
      </c>
      <c r="B9" s="356"/>
      <c r="C9" s="356"/>
      <c r="D9" s="356"/>
      <c r="E9" s="356"/>
      <c r="F9" s="357"/>
    </row>
    <row r="10" spans="1:6" s="38" customFormat="1" ht="15.75" customHeight="1" x14ac:dyDescent="0.25">
      <c r="A10" s="355" t="s">
        <v>8</v>
      </c>
      <c r="B10" s="356"/>
      <c r="C10" s="356"/>
      <c r="D10" s="356"/>
      <c r="E10" s="356"/>
      <c r="F10" s="357"/>
    </row>
    <row r="11" spans="1:6" s="38" customFormat="1" ht="30" customHeight="1" x14ac:dyDescent="0.25">
      <c r="A11" s="396" t="s">
        <v>9</v>
      </c>
      <c r="B11" s="397"/>
      <c r="C11" s="397"/>
      <c r="D11" s="424" t="s">
        <v>10</v>
      </c>
      <c r="E11" s="424"/>
      <c r="F11" s="425"/>
    </row>
    <row r="12" spans="1:6" s="38" customFormat="1" ht="45" customHeight="1" x14ac:dyDescent="0.25">
      <c r="A12" s="40">
        <v>1</v>
      </c>
      <c r="B12" s="42" t="s">
        <v>133</v>
      </c>
      <c r="C12" s="388" t="s">
        <v>269</v>
      </c>
      <c r="D12" s="388"/>
      <c r="E12" s="388"/>
      <c r="F12" s="389"/>
    </row>
    <row r="13" spans="1:6" s="38" customFormat="1" ht="30" customHeight="1" x14ac:dyDescent="0.25">
      <c r="A13" s="40">
        <v>2</v>
      </c>
      <c r="B13" s="42" t="s">
        <v>11</v>
      </c>
      <c r="C13" s="422">
        <v>3325</v>
      </c>
      <c r="D13" s="422"/>
      <c r="E13" s="422"/>
      <c r="F13" s="423"/>
    </row>
    <row r="14" spans="1:6" s="38" customFormat="1" ht="15.75" customHeight="1" x14ac:dyDescent="0.25">
      <c r="A14" s="40">
        <v>3</v>
      </c>
      <c r="B14" s="42" t="s">
        <v>12</v>
      </c>
      <c r="C14" s="388" t="s">
        <v>234</v>
      </c>
      <c r="D14" s="388"/>
      <c r="E14" s="388"/>
      <c r="F14" s="389"/>
    </row>
    <row r="15" spans="1:6" s="38" customFormat="1" x14ac:dyDescent="0.25">
      <c r="A15" s="40">
        <v>4</v>
      </c>
      <c r="B15" s="43" t="s">
        <v>13</v>
      </c>
      <c r="C15" s="390"/>
      <c r="D15" s="390"/>
      <c r="E15" s="390"/>
      <c r="F15" s="391"/>
    </row>
    <row r="16" spans="1:6" s="39" customFormat="1" ht="31.5" x14ac:dyDescent="0.25">
      <c r="A16" s="351" t="s">
        <v>14</v>
      </c>
      <c r="B16" s="352"/>
      <c r="C16" s="352"/>
      <c r="D16" s="264" t="s">
        <v>266</v>
      </c>
      <c r="E16" s="264" t="s">
        <v>265</v>
      </c>
      <c r="F16" s="270" t="s">
        <v>263</v>
      </c>
    </row>
    <row r="17" spans="1:6" s="39" customFormat="1" x14ac:dyDescent="0.25">
      <c r="A17" s="274">
        <v>1</v>
      </c>
      <c r="B17" s="371" t="s">
        <v>15</v>
      </c>
      <c r="C17" s="371"/>
      <c r="D17" s="56" t="s">
        <v>10</v>
      </c>
      <c r="E17" s="56" t="s">
        <v>10</v>
      </c>
      <c r="F17" s="57" t="s">
        <v>10</v>
      </c>
    </row>
    <row r="18" spans="1:6" s="38" customFormat="1" ht="15.75" customHeight="1" x14ac:dyDescent="0.25">
      <c r="A18" s="44" t="s">
        <v>0</v>
      </c>
      <c r="B18" s="45" t="s">
        <v>16</v>
      </c>
      <c r="C18" s="43"/>
      <c r="D18" s="74">
        <f>C13</f>
        <v>3325</v>
      </c>
      <c r="E18" s="74">
        <f>C13</f>
        <v>3325</v>
      </c>
      <c r="F18" s="58">
        <f>C13</f>
        <v>3325</v>
      </c>
    </row>
    <row r="19" spans="1:6" s="38" customFormat="1" ht="15.75" customHeight="1" x14ac:dyDescent="0.25">
      <c r="A19" s="44" t="s">
        <v>2</v>
      </c>
      <c r="B19" s="45" t="s">
        <v>17</v>
      </c>
      <c r="C19" s="75"/>
      <c r="D19" s="76"/>
      <c r="E19" s="76"/>
      <c r="F19" s="59"/>
    </row>
    <row r="20" spans="1:6" s="38" customFormat="1" ht="15.75" customHeight="1" x14ac:dyDescent="0.25">
      <c r="A20" s="44" t="s">
        <v>3</v>
      </c>
      <c r="B20" s="45" t="s">
        <v>18</v>
      </c>
      <c r="C20" s="108" t="s">
        <v>242</v>
      </c>
      <c r="D20" s="76">
        <f>40%*1412</f>
        <v>564.79999999999995</v>
      </c>
      <c r="E20" s="76">
        <f>40%*1412</f>
        <v>564.79999999999995</v>
      </c>
      <c r="F20" s="59">
        <f>40%*1412</f>
        <v>564.79999999999995</v>
      </c>
    </row>
    <row r="21" spans="1:6" s="38" customFormat="1" ht="15.75" customHeight="1" x14ac:dyDescent="0.25">
      <c r="A21" s="44" t="s">
        <v>5</v>
      </c>
      <c r="B21" s="45" t="s">
        <v>19</v>
      </c>
      <c r="C21" s="75"/>
      <c r="D21" s="76"/>
      <c r="E21" s="76"/>
      <c r="F21" s="59"/>
    </row>
    <row r="22" spans="1:6" s="38" customFormat="1" ht="15.75" customHeight="1" x14ac:dyDescent="0.25">
      <c r="A22" s="44" t="s">
        <v>20</v>
      </c>
      <c r="B22" s="45" t="s">
        <v>204</v>
      </c>
      <c r="C22" s="75"/>
      <c r="D22" s="76"/>
      <c r="E22" s="76"/>
      <c r="F22" s="59"/>
    </row>
    <row r="23" spans="1:6" s="38" customFormat="1" x14ac:dyDescent="0.25">
      <c r="A23" s="44" t="s">
        <v>21</v>
      </c>
      <c r="B23" s="45" t="s">
        <v>138</v>
      </c>
      <c r="C23" s="48"/>
      <c r="D23" s="76"/>
      <c r="E23" s="76"/>
      <c r="F23" s="59"/>
    </row>
    <row r="24" spans="1:6" s="38" customFormat="1" ht="15.75" customHeight="1" x14ac:dyDescent="0.25">
      <c r="A24" s="44" t="s">
        <v>22</v>
      </c>
      <c r="B24" s="46" t="s">
        <v>139</v>
      </c>
      <c r="C24" s="48"/>
      <c r="D24" s="76"/>
      <c r="E24" s="76"/>
      <c r="F24" s="59"/>
    </row>
    <row r="25" spans="1:6" s="39" customFormat="1" ht="15.75" customHeight="1" x14ac:dyDescent="0.25">
      <c r="A25" s="349" t="s">
        <v>152</v>
      </c>
      <c r="B25" s="350"/>
      <c r="C25" s="350"/>
      <c r="D25" s="65">
        <f>SUM(D18:D24)</f>
        <v>3889.8</v>
      </c>
      <c r="E25" s="65">
        <f>SUM(E18:E24)</f>
        <v>3889.8</v>
      </c>
      <c r="F25" s="60">
        <f>SUM(F18:F24)</f>
        <v>3889.8</v>
      </c>
    </row>
    <row r="26" spans="1:6" s="39" customFormat="1" x14ac:dyDescent="0.25">
      <c r="A26" s="353" t="s">
        <v>51</v>
      </c>
      <c r="B26" s="354"/>
      <c r="C26" s="354"/>
      <c r="D26" s="290"/>
      <c r="E26" s="290"/>
      <c r="F26" s="291"/>
    </row>
    <row r="27" spans="1:6" s="38" customFormat="1" x14ac:dyDescent="0.25">
      <c r="A27" s="265" t="s">
        <v>141</v>
      </c>
      <c r="B27" s="345" t="s">
        <v>205</v>
      </c>
      <c r="C27" s="363"/>
      <c r="D27" s="68" t="s">
        <v>10</v>
      </c>
      <c r="E27" s="68" t="s">
        <v>10</v>
      </c>
      <c r="F27" s="129" t="s">
        <v>10</v>
      </c>
    </row>
    <row r="28" spans="1:6" s="38" customFormat="1" x14ac:dyDescent="0.25">
      <c r="A28" s="49" t="s">
        <v>0</v>
      </c>
      <c r="B28" s="278" t="s">
        <v>28</v>
      </c>
      <c r="C28" s="54">
        <f>1/12</f>
        <v>8.3299999999999999E-2</v>
      </c>
      <c r="D28" s="77">
        <f>(D25)*C28</f>
        <v>324.02</v>
      </c>
      <c r="E28" s="77">
        <f>(E25)*C28</f>
        <v>324.02</v>
      </c>
      <c r="F28" s="61">
        <f>(F25)*C28</f>
        <v>324.02</v>
      </c>
    </row>
    <row r="29" spans="1:6" s="38" customFormat="1" x14ac:dyDescent="0.25">
      <c r="A29" s="49" t="s">
        <v>2</v>
      </c>
      <c r="B29" s="278" t="s">
        <v>148</v>
      </c>
      <c r="C29" s="54">
        <v>0.1111</v>
      </c>
      <c r="D29" s="77">
        <f>(D25)*C29</f>
        <v>432.16</v>
      </c>
      <c r="E29" s="77">
        <f>(E25)*C29</f>
        <v>432.16</v>
      </c>
      <c r="F29" s="61">
        <f>(F25)*C29</f>
        <v>432.16</v>
      </c>
    </row>
    <row r="30" spans="1:6" x14ac:dyDescent="0.25">
      <c r="A30" s="369" t="s">
        <v>27</v>
      </c>
      <c r="B30" s="370"/>
      <c r="C30" s="91">
        <f>SUM(C28:C29)</f>
        <v>0.19439999999999999</v>
      </c>
      <c r="D30" s="79">
        <f>SUM(D28:D29)</f>
        <v>756.18</v>
      </c>
      <c r="E30" s="79">
        <f>SUM(E28:E29)</f>
        <v>756.18</v>
      </c>
      <c r="F30" s="62">
        <f>SUM(F28:F29)</f>
        <v>756.18</v>
      </c>
    </row>
    <row r="31" spans="1:6" ht="32.25" customHeight="1" x14ac:dyDescent="0.25">
      <c r="A31" s="281" t="s">
        <v>190</v>
      </c>
      <c r="B31" s="282"/>
      <c r="C31" s="282"/>
      <c r="D31" s="282"/>
      <c r="E31" s="282"/>
      <c r="F31" s="283"/>
    </row>
    <row r="32" spans="1:6" x14ac:dyDescent="0.25">
      <c r="A32" s="263" t="s">
        <v>141</v>
      </c>
      <c r="B32" s="364" t="s">
        <v>25</v>
      </c>
      <c r="C32" s="365"/>
      <c r="D32" s="69"/>
      <c r="E32" s="269"/>
      <c r="F32" s="293"/>
    </row>
    <row r="33" spans="1:6" x14ac:dyDescent="0.25">
      <c r="A33" s="49" t="s">
        <v>0</v>
      </c>
      <c r="B33" s="80" t="s">
        <v>207</v>
      </c>
      <c r="C33" s="54">
        <v>0.2</v>
      </c>
      <c r="D33" s="77">
        <f t="shared" ref="D33:D40" si="0">($D$25+D$30)*C33</f>
        <v>929.2</v>
      </c>
      <c r="E33" s="77">
        <f t="shared" ref="E33:E40" si="1">($D$25+E$30)*C33</f>
        <v>929.2</v>
      </c>
      <c r="F33" s="61">
        <f t="shared" ref="F33:F40" si="2">($D$25+F$30)*C33</f>
        <v>929.2</v>
      </c>
    </row>
    <row r="34" spans="1:6" x14ac:dyDescent="0.25">
      <c r="A34" s="49" t="s">
        <v>2</v>
      </c>
      <c r="B34" s="80" t="s">
        <v>208</v>
      </c>
      <c r="C34" s="81">
        <v>1.4999999999999999E-2</v>
      </c>
      <c r="D34" s="77">
        <f t="shared" si="0"/>
        <v>69.69</v>
      </c>
      <c r="E34" s="77">
        <f t="shared" si="1"/>
        <v>69.69</v>
      </c>
      <c r="F34" s="61">
        <f t="shared" si="2"/>
        <v>69.69</v>
      </c>
    </row>
    <row r="35" spans="1:6" x14ac:dyDescent="0.25">
      <c r="A35" s="49" t="s">
        <v>3</v>
      </c>
      <c r="B35" s="80" t="s">
        <v>209</v>
      </c>
      <c r="C35" s="81">
        <v>0.01</v>
      </c>
      <c r="D35" s="77">
        <f t="shared" si="0"/>
        <v>46.46</v>
      </c>
      <c r="E35" s="77">
        <f t="shared" si="1"/>
        <v>46.46</v>
      </c>
      <c r="F35" s="61">
        <f t="shared" si="2"/>
        <v>46.46</v>
      </c>
    </row>
    <row r="36" spans="1:6" ht="31.5" x14ac:dyDescent="0.25">
      <c r="A36" s="49" t="s">
        <v>5</v>
      </c>
      <c r="B36" s="262" t="s">
        <v>210</v>
      </c>
      <c r="C36" s="81">
        <v>2E-3</v>
      </c>
      <c r="D36" s="77">
        <f t="shared" si="0"/>
        <v>9.2899999999999991</v>
      </c>
      <c r="E36" s="77">
        <f t="shared" si="1"/>
        <v>9.2899999999999991</v>
      </c>
      <c r="F36" s="61">
        <f t="shared" si="2"/>
        <v>9.2899999999999991</v>
      </c>
    </row>
    <row r="37" spans="1:6" x14ac:dyDescent="0.25">
      <c r="A37" s="49" t="s">
        <v>20</v>
      </c>
      <c r="B37" s="80" t="s">
        <v>211</v>
      </c>
      <c r="C37" s="81">
        <v>2.5000000000000001E-2</v>
      </c>
      <c r="D37" s="77">
        <f t="shared" si="0"/>
        <v>116.15</v>
      </c>
      <c r="E37" s="77">
        <f t="shared" si="1"/>
        <v>116.15</v>
      </c>
      <c r="F37" s="61">
        <f t="shared" si="2"/>
        <v>116.15</v>
      </c>
    </row>
    <row r="38" spans="1:6" x14ac:dyDescent="0.25">
      <c r="A38" s="49" t="s">
        <v>21</v>
      </c>
      <c r="B38" s="107" t="s">
        <v>212</v>
      </c>
      <c r="C38" s="81">
        <v>0.08</v>
      </c>
      <c r="D38" s="77">
        <f t="shared" si="0"/>
        <v>371.68</v>
      </c>
      <c r="E38" s="77">
        <f t="shared" si="1"/>
        <v>371.68</v>
      </c>
      <c r="F38" s="61">
        <f t="shared" si="2"/>
        <v>371.68</v>
      </c>
    </row>
    <row r="39" spans="1:6" ht="47.25" x14ac:dyDescent="0.25">
      <c r="A39" s="49" t="s">
        <v>22</v>
      </c>
      <c r="B39" s="262" t="s">
        <v>213</v>
      </c>
      <c r="C39" s="81">
        <v>0.03</v>
      </c>
      <c r="D39" s="77">
        <f t="shared" si="0"/>
        <v>139.38</v>
      </c>
      <c r="E39" s="77">
        <f t="shared" si="1"/>
        <v>139.38</v>
      </c>
      <c r="F39" s="61">
        <f t="shared" si="2"/>
        <v>139.38</v>
      </c>
    </row>
    <row r="40" spans="1:6" x14ac:dyDescent="0.25">
      <c r="A40" s="49" t="s">
        <v>26</v>
      </c>
      <c r="B40" s="106" t="s">
        <v>214</v>
      </c>
      <c r="C40" s="81">
        <v>6.0000000000000001E-3</v>
      </c>
      <c r="D40" s="77">
        <f t="shared" si="0"/>
        <v>27.88</v>
      </c>
      <c r="E40" s="77">
        <f t="shared" si="1"/>
        <v>27.88</v>
      </c>
      <c r="F40" s="61">
        <f t="shared" si="2"/>
        <v>27.88</v>
      </c>
    </row>
    <row r="41" spans="1:6" s="30" customFormat="1" x14ac:dyDescent="0.25">
      <c r="A41" s="369" t="s">
        <v>27</v>
      </c>
      <c r="B41" s="370"/>
      <c r="C41" s="55">
        <f>SUM(C33:C40)</f>
        <v>0.36799999999999999</v>
      </c>
      <c r="D41" s="79">
        <f>SUM(D33:D40)</f>
        <v>1709.73</v>
      </c>
      <c r="E41" s="79">
        <f>SUM(E33:E40)</f>
        <v>1709.73</v>
      </c>
      <c r="F41" s="62">
        <f>SUM(F33:F40)</f>
        <v>1709.73</v>
      </c>
    </row>
    <row r="42" spans="1:6" s="30" customFormat="1" x14ac:dyDescent="0.25">
      <c r="A42" s="351" t="s">
        <v>173</v>
      </c>
      <c r="B42" s="352"/>
      <c r="C42" s="352"/>
      <c r="D42" s="279"/>
      <c r="E42" s="279"/>
      <c r="F42" s="280"/>
    </row>
    <row r="43" spans="1:6" s="30" customFormat="1" x14ac:dyDescent="0.25">
      <c r="A43" s="73" t="s">
        <v>216</v>
      </c>
      <c r="B43" s="379" t="s">
        <v>217</v>
      </c>
      <c r="C43" s="380"/>
      <c r="D43" s="261"/>
      <c r="E43" s="271"/>
      <c r="F43" s="294"/>
    </row>
    <row r="44" spans="1:6" s="30" customFormat="1" x14ac:dyDescent="0.25">
      <c r="A44" s="90" t="s">
        <v>0</v>
      </c>
      <c r="B44" s="53" t="s">
        <v>144</v>
      </c>
      <c r="C44" s="105"/>
      <c r="D44" s="101">
        <v>0</v>
      </c>
      <c r="E44" s="101">
        <v>0</v>
      </c>
      <c r="F44" s="124">
        <v>0</v>
      </c>
    </row>
    <row r="45" spans="1:6" s="30" customFormat="1" x14ac:dyDescent="0.25">
      <c r="A45" s="47" t="s">
        <v>2</v>
      </c>
      <c r="B45" s="46" t="s">
        <v>191</v>
      </c>
      <c r="C45" s="72"/>
      <c r="D45" s="101">
        <v>0</v>
      </c>
      <c r="E45" s="101">
        <v>0</v>
      </c>
      <c r="F45" s="124">
        <v>0</v>
      </c>
    </row>
    <row r="46" spans="1:6" s="30" customFormat="1" x14ac:dyDescent="0.25">
      <c r="A46" s="49" t="s">
        <v>3</v>
      </c>
      <c r="B46" s="278" t="s">
        <v>134</v>
      </c>
      <c r="C46" s="66"/>
      <c r="D46" s="101">
        <v>0</v>
      </c>
      <c r="E46" s="101">
        <v>0</v>
      </c>
      <c r="F46" s="124">
        <v>0</v>
      </c>
    </row>
    <row r="47" spans="1:6" s="30" customFormat="1" x14ac:dyDescent="0.25">
      <c r="A47" s="49" t="s">
        <v>5</v>
      </c>
      <c r="B47" s="278" t="s">
        <v>135</v>
      </c>
      <c r="C47" s="54"/>
      <c r="D47" s="101">
        <v>0</v>
      </c>
      <c r="E47" s="101">
        <v>0</v>
      </c>
      <c r="F47" s="124">
        <v>0</v>
      </c>
    </row>
    <row r="48" spans="1:6" s="30" customFormat="1" x14ac:dyDescent="0.25">
      <c r="A48" s="49" t="s">
        <v>20</v>
      </c>
      <c r="B48" s="278" t="s">
        <v>136</v>
      </c>
      <c r="C48" s="66"/>
      <c r="D48" s="101">
        <v>0</v>
      </c>
      <c r="E48" s="101">
        <v>0</v>
      </c>
      <c r="F48" s="124">
        <v>0</v>
      </c>
    </row>
    <row r="49" spans="1:6" s="30" customFormat="1" ht="15.75" customHeight="1" x14ac:dyDescent="0.25">
      <c r="A49" s="266" t="s">
        <v>23</v>
      </c>
      <c r="B49" s="267"/>
      <c r="C49" s="85"/>
      <c r="D49" s="79">
        <f>SUM(D44:D48)</f>
        <v>0</v>
      </c>
      <c r="E49" s="79">
        <f>SUM(E44:E48)</f>
        <v>0</v>
      </c>
      <c r="F49" s="62">
        <f>SUM(F44:F48)</f>
        <v>0</v>
      </c>
    </row>
    <row r="50" spans="1:6" s="30" customFormat="1" ht="15.75" customHeight="1" x14ac:dyDescent="0.25">
      <c r="A50" s="351" t="s">
        <v>224</v>
      </c>
      <c r="B50" s="352"/>
      <c r="C50" s="352"/>
      <c r="D50" s="279"/>
      <c r="E50" s="279"/>
      <c r="F50" s="280"/>
    </row>
    <row r="51" spans="1:6" s="30" customFormat="1" ht="15.75" customHeight="1" x14ac:dyDescent="0.25">
      <c r="A51" s="274" t="s">
        <v>141</v>
      </c>
      <c r="B51" s="102" t="s">
        <v>145</v>
      </c>
      <c r="C51" s="275"/>
      <c r="D51" s="64">
        <f>D30</f>
        <v>756.18</v>
      </c>
      <c r="E51" s="64">
        <f>E30</f>
        <v>756.18</v>
      </c>
      <c r="F51" s="142">
        <f>F30</f>
        <v>756.18</v>
      </c>
    </row>
    <row r="52" spans="1:6" s="30" customFormat="1" ht="15.75" customHeight="1" x14ac:dyDescent="0.25">
      <c r="A52" s="274" t="s">
        <v>215</v>
      </c>
      <c r="B52" s="102" t="s">
        <v>146</v>
      </c>
      <c r="C52" s="275"/>
      <c r="D52" s="64">
        <f>D41</f>
        <v>1709.73</v>
      </c>
      <c r="E52" s="64">
        <f>E41</f>
        <v>1709.73</v>
      </c>
      <c r="F52" s="142">
        <f>F41</f>
        <v>1709.73</v>
      </c>
    </row>
    <row r="53" spans="1:6" s="30" customFormat="1" ht="15.75" customHeight="1" x14ac:dyDescent="0.25">
      <c r="A53" s="274" t="s">
        <v>216</v>
      </c>
      <c r="B53" s="102" t="s">
        <v>147</v>
      </c>
      <c r="C53" s="275"/>
      <c r="D53" s="64">
        <f>D49</f>
        <v>0</v>
      </c>
      <c r="E53" s="64">
        <f>E49</f>
        <v>0</v>
      </c>
      <c r="F53" s="142">
        <f>F49</f>
        <v>0</v>
      </c>
    </row>
    <row r="54" spans="1:6" s="30" customFormat="1" ht="15.75" customHeight="1" x14ac:dyDescent="0.25">
      <c r="A54" s="349" t="s">
        <v>153</v>
      </c>
      <c r="B54" s="350"/>
      <c r="C54" s="350"/>
      <c r="D54" s="65">
        <f>SUM(D51:D53)</f>
        <v>2465.91</v>
      </c>
      <c r="E54" s="65">
        <f>SUM(E51:E53)</f>
        <v>2465.91</v>
      </c>
      <c r="F54" s="60">
        <f>SUM(F51:F53)</f>
        <v>2465.91</v>
      </c>
    </row>
    <row r="55" spans="1:6" s="30" customFormat="1" ht="15.75" customHeight="1" x14ac:dyDescent="0.25">
      <c r="A55" s="353" t="s">
        <v>162</v>
      </c>
      <c r="B55" s="354"/>
      <c r="C55" s="354"/>
      <c r="D55" s="290"/>
      <c r="E55" s="290"/>
      <c r="F55" s="291"/>
    </row>
    <row r="56" spans="1:6" s="30" customFormat="1" ht="15.75" customHeight="1" x14ac:dyDescent="0.25">
      <c r="A56" s="265" t="s">
        <v>200</v>
      </c>
      <c r="B56" s="345" t="s">
        <v>32</v>
      </c>
      <c r="C56" s="346"/>
      <c r="D56" s="68" t="s">
        <v>10</v>
      </c>
      <c r="E56" s="68" t="s">
        <v>10</v>
      </c>
      <c r="F56" s="129" t="s">
        <v>10</v>
      </c>
    </row>
    <row r="57" spans="1:6" s="30" customFormat="1" ht="15.75" customHeight="1" x14ac:dyDescent="0.25">
      <c r="A57" s="49" t="s">
        <v>0</v>
      </c>
      <c r="B57" s="278" t="s">
        <v>33</v>
      </c>
      <c r="C57" s="54">
        <v>4.5999999999999999E-3</v>
      </c>
      <c r="D57" s="77">
        <f>D$25*C57</f>
        <v>17.89</v>
      </c>
      <c r="E57" s="77">
        <f>E$25*C57</f>
        <v>17.89</v>
      </c>
      <c r="F57" s="61">
        <f>F$25*C57</f>
        <v>17.89</v>
      </c>
    </row>
    <row r="58" spans="1:6" s="30" customFormat="1" ht="15.75" customHeight="1" x14ac:dyDescent="0.25">
      <c r="A58" s="49" t="s">
        <v>2</v>
      </c>
      <c r="B58" s="278" t="s">
        <v>34</v>
      </c>
      <c r="C58" s="54">
        <v>4.0000000000000002E-4</v>
      </c>
      <c r="D58" s="77">
        <f>D$25*C58</f>
        <v>1.56</v>
      </c>
      <c r="E58" s="77">
        <f>E$25*C58</f>
        <v>1.56</v>
      </c>
      <c r="F58" s="61">
        <f>F$25*C58</f>
        <v>1.56</v>
      </c>
    </row>
    <row r="59" spans="1:6" s="30" customFormat="1" ht="15.75" customHeight="1" x14ac:dyDescent="0.25">
      <c r="A59" s="49" t="s">
        <v>3</v>
      </c>
      <c r="B59" s="52" t="s">
        <v>35</v>
      </c>
      <c r="C59" s="54">
        <v>1.9400000000000001E-2</v>
      </c>
      <c r="D59" s="77">
        <f>D$25*C59</f>
        <v>75.459999999999994</v>
      </c>
      <c r="E59" s="77">
        <f>E$25*C59</f>
        <v>75.459999999999994</v>
      </c>
      <c r="F59" s="61">
        <f>F$25*C59</f>
        <v>75.459999999999994</v>
      </c>
    </row>
    <row r="60" spans="1:6" s="30" customFormat="1" ht="30.75" customHeight="1" x14ac:dyDescent="0.25">
      <c r="A60" s="49" t="s">
        <v>5</v>
      </c>
      <c r="B60" s="278" t="s">
        <v>174</v>
      </c>
      <c r="C60" s="54">
        <v>7.1000000000000004E-3</v>
      </c>
      <c r="D60" s="77">
        <f>D$25*C60</f>
        <v>27.62</v>
      </c>
      <c r="E60" s="77">
        <f>E$25*C60</f>
        <v>27.62</v>
      </c>
      <c r="F60" s="61">
        <f>F$25*C60</f>
        <v>27.62</v>
      </c>
    </row>
    <row r="61" spans="1:6" s="30" customFormat="1" ht="15.75" customHeight="1" x14ac:dyDescent="0.25">
      <c r="A61" s="49" t="s">
        <v>20</v>
      </c>
      <c r="B61" s="278" t="s">
        <v>149</v>
      </c>
      <c r="C61" s="54">
        <v>0.04</v>
      </c>
      <c r="D61" s="77">
        <f>D$25*C61</f>
        <v>155.59</v>
      </c>
      <c r="E61" s="77">
        <f>E$25*C61</f>
        <v>155.59</v>
      </c>
      <c r="F61" s="61">
        <f>F$25*C61</f>
        <v>155.59</v>
      </c>
    </row>
    <row r="62" spans="1:6" s="30" customFormat="1" x14ac:dyDescent="0.25">
      <c r="A62" s="349" t="s">
        <v>154</v>
      </c>
      <c r="B62" s="350"/>
      <c r="C62" s="350"/>
      <c r="D62" s="65">
        <f>SUM(D57:D61)</f>
        <v>278.12</v>
      </c>
      <c r="E62" s="65">
        <f>SUM(E57:E61)</f>
        <v>278.12</v>
      </c>
      <c r="F62" s="60">
        <f>SUM(F57:F61)</f>
        <v>278.12</v>
      </c>
    </row>
    <row r="63" spans="1:6" s="30" customFormat="1" x14ac:dyDescent="0.25">
      <c r="A63" s="353" t="s">
        <v>163</v>
      </c>
      <c r="B63" s="354"/>
      <c r="C63" s="354"/>
      <c r="D63" s="290"/>
      <c r="E63" s="290"/>
      <c r="F63" s="291"/>
    </row>
    <row r="64" spans="1:6" s="30" customFormat="1" x14ac:dyDescent="0.25">
      <c r="A64" s="265" t="s">
        <v>199</v>
      </c>
      <c r="B64" s="426" t="s">
        <v>198</v>
      </c>
      <c r="C64" s="426"/>
      <c r="D64" s="68" t="s">
        <v>10</v>
      </c>
      <c r="E64" s="68" t="s">
        <v>10</v>
      </c>
      <c r="F64" s="129" t="s">
        <v>10</v>
      </c>
    </row>
    <row r="65" spans="1:6" s="30" customFormat="1" x14ac:dyDescent="0.25">
      <c r="A65" s="49" t="s">
        <v>0</v>
      </c>
      <c r="B65" s="278" t="s">
        <v>192</v>
      </c>
      <c r="C65" s="54">
        <f>C29/12</f>
        <v>9.2999999999999992E-3</v>
      </c>
      <c r="D65" s="77">
        <f t="shared" ref="D65:D70" si="3">(D$25+D$54+D$62+D$85)*C65</f>
        <v>62.04</v>
      </c>
      <c r="E65" s="77">
        <f t="shared" ref="E65:E70" si="4">(E$25+E$54+E$62+E$85)*C65</f>
        <v>62.04</v>
      </c>
      <c r="F65" s="61">
        <f t="shared" ref="F65:F70" si="5">(F$25+F$54+F$62+F$85)*C65</f>
        <v>62.04</v>
      </c>
    </row>
    <row r="66" spans="1:6" s="30" customFormat="1" x14ac:dyDescent="0.25">
      <c r="A66" s="49" t="s">
        <v>2</v>
      </c>
      <c r="B66" s="278" t="s">
        <v>193</v>
      </c>
      <c r="C66" s="54">
        <v>1.66E-2</v>
      </c>
      <c r="D66" s="77">
        <f t="shared" si="3"/>
        <v>110.73</v>
      </c>
      <c r="E66" s="77">
        <f t="shared" si="4"/>
        <v>110.73</v>
      </c>
      <c r="F66" s="61">
        <f t="shared" si="5"/>
        <v>110.73</v>
      </c>
    </row>
    <row r="67" spans="1:6" s="30" customFormat="1" x14ac:dyDescent="0.25">
      <c r="A67" s="49" t="s">
        <v>3</v>
      </c>
      <c r="B67" s="278" t="s">
        <v>194</v>
      </c>
      <c r="C67" s="54">
        <v>2.0000000000000001E-4</v>
      </c>
      <c r="D67" s="77">
        <f t="shared" si="3"/>
        <v>1.33</v>
      </c>
      <c r="E67" s="77">
        <f t="shared" si="4"/>
        <v>1.33</v>
      </c>
      <c r="F67" s="61">
        <f t="shared" si="5"/>
        <v>1.33</v>
      </c>
    </row>
    <row r="68" spans="1:6" s="30" customFormat="1" x14ac:dyDescent="0.25">
      <c r="A68" s="49" t="s">
        <v>5</v>
      </c>
      <c r="B68" s="278" t="s">
        <v>195</v>
      </c>
      <c r="C68" s="54">
        <v>2.7000000000000001E-3</v>
      </c>
      <c r="D68" s="77">
        <f t="shared" si="3"/>
        <v>18.010000000000002</v>
      </c>
      <c r="E68" s="77">
        <f t="shared" si="4"/>
        <v>18.010000000000002</v>
      </c>
      <c r="F68" s="61">
        <f t="shared" si="5"/>
        <v>18.010000000000002</v>
      </c>
    </row>
    <row r="69" spans="1:6" s="30" customFormat="1" x14ac:dyDescent="0.25">
      <c r="A69" s="49" t="s">
        <v>20</v>
      </c>
      <c r="B69" s="278" t="s">
        <v>196</v>
      </c>
      <c r="C69" s="54">
        <v>2.9999999999999997E-4</v>
      </c>
      <c r="D69" s="77">
        <f t="shared" si="3"/>
        <v>2</v>
      </c>
      <c r="E69" s="77">
        <f t="shared" si="4"/>
        <v>2</v>
      </c>
      <c r="F69" s="61">
        <f t="shared" si="5"/>
        <v>2</v>
      </c>
    </row>
    <row r="70" spans="1:6" s="30" customFormat="1" ht="15.75" customHeight="1" x14ac:dyDescent="0.25">
      <c r="A70" s="49" t="s">
        <v>21</v>
      </c>
      <c r="B70" s="268" t="s">
        <v>197</v>
      </c>
      <c r="C70" s="54">
        <v>0</v>
      </c>
      <c r="D70" s="77">
        <f t="shared" si="3"/>
        <v>0</v>
      </c>
      <c r="E70" s="77">
        <f t="shared" si="4"/>
        <v>0</v>
      </c>
      <c r="F70" s="61">
        <f t="shared" si="5"/>
        <v>0</v>
      </c>
    </row>
    <row r="71" spans="1:6" s="30" customFormat="1" x14ac:dyDescent="0.25">
      <c r="A71" s="369" t="s">
        <v>29</v>
      </c>
      <c r="B71" s="370"/>
      <c r="C71" s="55">
        <f>SUM(C65:C70)</f>
        <v>2.9100000000000001E-2</v>
      </c>
      <c r="D71" s="79">
        <f>SUM(D65:D70)</f>
        <v>194.11</v>
      </c>
      <c r="E71" s="79">
        <f>SUM(E65:E70)</f>
        <v>194.11</v>
      </c>
      <c r="F71" s="62">
        <f>SUM(F65:F70)</f>
        <v>194.11</v>
      </c>
    </row>
    <row r="72" spans="1:6" s="30" customFormat="1" x14ac:dyDescent="0.25">
      <c r="A72" s="274"/>
      <c r="B72" s="275"/>
      <c r="C72" s="92"/>
      <c r="D72" s="74"/>
      <c r="E72" s="74"/>
      <c r="F72" s="289"/>
    </row>
    <row r="73" spans="1:6" s="30" customFormat="1" x14ac:dyDescent="0.25">
      <c r="A73" s="274"/>
      <c r="B73" s="371" t="s">
        <v>201</v>
      </c>
      <c r="C73" s="381"/>
      <c r="D73" s="68" t="s">
        <v>10</v>
      </c>
      <c r="E73" s="68" t="s">
        <v>10</v>
      </c>
      <c r="F73" s="129" t="s">
        <v>10</v>
      </c>
    </row>
    <row r="74" spans="1:6" s="30" customFormat="1" x14ac:dyDescent="0.25">
      <c r="A74" s="49" t="s">
        <v>0</v>
      </c>
      <c r="B74" s="278" t="s">
        <v>202</v>
      </c>
      <c r="C74" s="54">
        <v>0</v>
      </c>
      <c r="D74" s="77">
        <f>(D$25+D$54+D$62)*C74</f>
        <v>0</v>
      </c>
      <c r="E74" s="77">
        <f>(E$25+E$54+E$62)*C74</f>
        <v>0</v>
      </c>
      <c r="F74" s="61">
        <f>(F$25+F$54+F$62)*C74</f>
        <v>0</v>
      </c>
    </row>
    <row r="75" spans="1:6" s="30" customFormat="1" ht="15.75" customHeight="1" x14ac:dyDescent="0.25">
      <c r="A75" s="369" t="s">
        <v>27</v>
      </c>
      <c r="B75" s="370"/>
      <c r="C75" s="93">
        <f>C74</f>
        <v>0</v>
      </c>
      <c r="D75" s="79">
        <f>D74</f>
        <v>0</v>
      </c>
      <c r="E75" s="79">
        <f>E74</f>
        <v>0</v>
      </c>
      <c r="F75" s="62">
        <f>F74</f>
        <v>0</v>
      </c>
    </row>
    <row r="76" spans="1:6" s="30" customFormat="1" ht="15.75" customHeight="1" x14ac:dyDescent="0.25">
      <c r="A76" s="351" t="s">
        <v>30</v>
      </c>
      <c r="B76" s="352"/>
      <c r="C76" s="352"/>
      <c r="D76" s="279"/>
      <c r="E76" s="279"/>
      <c r="F76" s="280"/>
    </row>
    <row r="77" spans="1:6" s="30" customFormat="1" ht="15.75" customHeight="1" x14ac:dyDescent="0.25">
      <c r="A77" s="427" t="s">
        <v>203</v>
      </c>
      <c r="B77" s="428"/>
      <c r="C77" s="428"/>
      <c r="D77" s="98"/>
      <c r="E77" s="98"/>
      <c r="F77" s="292"/>
    </row>
    <row r="78" spans="1:6" s="30" customFormat="1" ht="15.75" customHeight="1" x14ac:dyDescent="0.25">
      <c r="A78" s="265">
        <v>4</v>
      </c>
      <c r="B78" s="345" t="s">
        <v>31</v>
      </c>
      <c r="C78" s="346"/>
      <c r="D78" s="68" t="s">
        <v>10</v>
      </c>
      <c r="E78" s="68" t="s">
        <v>10</v>
      </c>
      <c r="F78" s="129" t="s">
        <v>10</v>
      </c>
    </row>
    <row r="79" spans="1:6" s="30" customFormat="1" ht="15.75" customHeight="1" x14ac:dyDescent="0.25">
      <c r="A79" s="49" t="s">
        <v>199</v>
      </c>
      <c r="B79" s="268" t="s">
        <v>198</v>
      </c>
      <c r="C79" s="54">
        <f>C71</f>
        <v>2.9100000000000001E-2</v>
      </c>
      <c r="D79" s="77">
        <f>D71</f>
        <v>194.11</v>
      </c>
      <c r="E79" s="77">
        <f>E71</f>
        <v>194.11</v>
      </c>
      <c r="F79" s="61">
        <f>F71</f>
        <v>194.11</v>
      </c>
    </row>
    <row r="80" spans="1:6" s="30" customFormat="1" ht="15.75" customHeight="1" x14ac:dyDescent="0.25">
      <c r="A80" s="49" t="s">
        <v>221</v>
      </c>
      <c r="B80" s="268" t="s">
        <v>201</v>
      </c>
      <c r="C80" s="54">
        <v>0</v>
      </c>
      <c r="D80" s="77">
        <f>(D$25+D$54+D$62)*C80</f>
        <v>0</v>
      </c>
      <c r="E80" s="77">
        <f>(E$25+E$54+E$62)*C80</f>
        <v>0</v>
      </c>
      <c r="F80" s="61">
        <f>(F$25+F$54+F$62)*C80</f>
        <v>0</v>
      </c>
    </row>
    <row r="81" spans="1:6" s="30" customFormat="1" ht="15.75" customHeight="1" x14ac:dyDescent="0.25">
      <c r="A81" s="369" t="s">
        <v>27</v>
      </c>
      <c r="B81" s="370"/>
      <c r="C81" s="91">
        <f>SUM(C79:C80)</f>
        <v>2.9100000000000001E-2</v>
      </c>
      <c r="D81" s="79">
        <f>SUM(D79:D80)</f>
        <v>194.11</v>
      </c>
      <c r="E81" s="79">
        <f>SUM(E79:E80)</f>
        <v>194.11</v>
      </c>
      <c r="F81" s="62">
        <f>SUM(F79:F80)</f>
        <v>194.11</v>
      </c>
    </row>
    <row r="82" spans="1:6" s="30" customFormat="1" ht="15.75" customHeight="1" x14ac:dyDescent="0.25">
      <c r="A82" s="349" t="s">
        <v>155</v>
      </c>
      <c r="B82" s="350"/>
      <c r="C82" s="350"/>
      <c r="D82" s="65">
        <f>SUM(D75+D81)</f>
        <v>194.11</v>
      </c>
      <c r="E82" s="65">
        <f>SUM(E75+E81)</f>
        <v>194.11</v>
      </c>
      <c r="F82" s="60">
        <f>SUM(F75+F81)</f>
        <v>194.11</v>
      </c>
    </row>
    <row r="83" spans="1:6" s="30" customFormat="1" ht="15.75" customHeight="1" x14ac:dyDescent="0.25">
      <c r="A83" s="353" t="s">
        <v>164</v>
      </c>
      <c r="B83" s="354"/>
      <c r="C83" s="354"/>
      <c r="D83" s="290"/>
      <c r="E83" s="290"/>
      <c r="F83" s="291"/>
    </row>
    <row r="84" spans="1:6" s="30" customFormat="1" ht="15.75" customHeight="1" x14ac:dyDescent="0.25">
      <c r="A84" s="265">
        <v>5</v>
      </c>
      <c r="B84" s="345" t="s">
        <v>24</v>
      </c>
      <c r="C84" s="346"/>
      <c r="D84" s="68" t="s">
        <v>10</v>
      </c>
      <c r="E84" s="68" t="s">
        <v>10</v>
      </c>
      <c r="F84" s="129" t="s">
        <v>10</v>
      </c>
    </row>
    <row r="85" spans="1:6" s="30" customFormat="1" ht="15.75" customHeight="1" x14ac:dyDescent="0.25">
      <c r="A85" s="47" t="s">
        <v>0</v>
      </c>
      <c r="B85" s="344" t="s">
        <v>222</v>
      </c>
      <c r="C85" s="344"/>
      <c r="D85" s="77">
        <f>Uniformes!H7</f>
        <v>36.619999999999997</v>
      </c>
      <c r="E85" s="77">
        <f>Uniformes!H7</f>
        <v>36.619999999999997</v>
      </c>
      <c r="F85" s="61">
        <f>Uniformes!H7</f>
        <v>36.619999999999997</v>
      </c>
    </row>
    <row r="86" spans="1:6" s="30" customFormat="1" ht="15.75" customHeight="1" x14ac:dyDescent="0.25">
      <c r="A86" s="47" t="s">
        <v>2</v>
      </c>
      <c r="B86" s="344" t="s">
        <v>223</v>
      </c>
      <c r="C86" s="344"/>
      <c r="D86" s="77">
        <f>Materiais!H18</f>
        <v>64.819999999999993</v>
      </c>
      <c r="E86" s="77">
        <f>Materiais!H21</f>
        <v>129.65</v>
      </c>
      <c r="F86" s="61">
        <f>Materiais!H22</f>
        <v>129.65</v>
      </c>
    </row>
    <row r="87" spans="1:6" s="30" customFormat="1" ht="15.75" customHeight="1" x14ac:dyDescent="0.25">
      <c r="A87" s="47" t="s">
        <v>3</v>
      </c>
      <c r="B87" s="344" t="s">
        <v>187</v>
      </c>
      <c r="C87" s="344"/>
      <c r="D87" s="77">
        <f>Equipamentos!H20</f>
        <v>922.4</v>
      </c>
      <c r="E87" s="77">
        <f>Equipamentos!H21</f>
        <v>2625</v>
      </c>
      <c r="F87" s="61">
        <f>Equipamentos!H22</f>
        <v>2625</v>
      </c>
    </row>
    <row r="88" spans="1:6" s="30" customFormat="1" ht="15.75" customHeight="1" x14ac:dyDescent="0.25">
      <c r="A88" s="47" t="s">
        <v>5</v>
      </c>
      <c r="B88" s="344" t="s">
        <v>137</v>
      </c>
      <c r="C88" s="344"/>
      <c r="D88" s="77">
        <v>0</v>
      </c>
      <c r="E88" s="77">
        <v>0</v>
      </c>
      <c r="F88" s="61">
        <v>0</v>
      </c>
    </row>
    <row r="89" spans="1:6" s="30" customFormat="1" ht="15.75" customHeight="1" x14ac:dyDescent="0.25">
      <c r="A89" s="349" t="s">
        <v>156</v>
      </c>
      <c r="B89" s="350"/>
      <c r="C89" s="350"/>
      <c r="D89" s="65">
        <f>SUM(D85:D88)</f>
        <v>1023.84</v>
      </c>
      <c r="E89" s="65">
        <f>SUM(E85:E88)</f>
        <v>2791.27</v>
      </c>
      <c r="F89" s="60">
        <f>SUM(F85:F88)</f>
        <v>2791.27</v>
      </c>
    </row>
    <row r="90" spans="1:6" s="30" customFormat="1" ht="30" customHeight="1" x14ac:dyDescent="0.25">
      <c r="A90" s="347" t="s">
        <v>225</v>
      </c>
      <c r="B90" s="348"/>
      <c r="C90" s="348"/>
      <c r="D90" s="120">
        <f>D89+D82+D62+D54+D25</f>
        <v>7851.78</v>
      </c>
      <c r="E90" s="120">
        <f>E89+E82+E62+E54+E25</f>
        <v>9619.2099999999991</v>
      </c>
      <c r="F90" s="148">
        <f>F89+F82+F62+F54+F25</f>
        <v>9619.2099999999991</v>
      </c>
    </row>
    <row r="91" spans="1:6" s="30" customFormat="1" ht="19.5" customHeight="1" x14ac:dyDescent="0.25">
      <c r="A91" s="353" t="s">
        <v>165</v>
      </c>
      <c r="B91" s="354"/>
      <c r="C91" s="354"/>
      <c r="D91" s="290"/>
      <c r="E91" s="290"/>
      <c r="F91" s="291"/>
    </row>
    <row r="92" spans="1:6" s="30" customFormat="1" x14ac:dyDescent="0.25">
      <c r="A92" s="265">
        <v>6</v>
      </c>
      <c r="B92" s="345" t="s">
        <v>38</v>
      </c>
      <c r="C92" s="363"/>
      <c r="D92" s="68" t="s">
        <v>10</v>
      </c>
      <c r="E92" s="68" t="s">
        <v>10</v>
      </c>
      <c r="F92" s="129" t="s">
        <v>10</v>
      </c>
    </row>
    <row r="93" spans="1:6" s="30" customFormat="1" x14ac:dyDescent="0.25">
      <c r="A93" s="265" t="s">
        <v>0</v>
      </c>
      <c r="B93" s="278" t="s">
        <v>39</v>
      </c>
      <c r="C93" s="54">
        <v>0.03</v>
      </c>
      <c r="D93" s="77">
        <f>+D90*C93</f>
        <v>235.55</v>
      </c>
      <c r="E93" s="77">
        <f>+E90*C93</f>
        <v>288.58</v>
      </c>
      <c r="F93" s="61">
        <f>+F90*C93</f>
        <v>288.58</v>
      </c>
    </row>
    <row r="94" spans="1:6" s="30" customFormat="1" x14ac:dyDescent="0.25">
      <c r="A94" s="265" t="s">
        <v>2</v>
      </c>
      <c r="B94" s="278" t="s">
        <v>40</v>
      </c>
      <c r="C94" s="54">
        <v>6.7900000000000002E-2</v>
      </c>
      <c r="D94" s="77">
        <f>C94*(+D90+D93)</f>
        <v>549.13</v>
      </c>
      <c r="E94" s="77">
        <f>C94*(+E90+E93)</f>
        <v>672.74</v>
      </c>
      <c r="F94" s="61">
        <f>C94*(+F90+F93)</f>
        <v>672.74</v>
      </c>
    </row>
    <row r="95" spans="1:6" s="30" customFormat="1" ht="31.5" x14ac:dyDescent="0.25">
      <c r="A95" s="375" t="s">
        <v>3</v>
      </c>
      <c r="B95" s="278" t="s">
        <v>50</v>
      </c>
      <c r="C95" s="54">
        <f>1-C103</f>
        <v>0.85750000000000004</v>
      </c>
      <c r="D95" s="77">
        <f>+D90+D93+D94</f>
        <v>8636.4599999999991</v>
      </c>
      <c r="E95" s="77">
        <f>+E90+E93+E94</f>
        <v>10580.53</v>
      </c>
      <c r="F95" s="61">
        <f>+F90+F93+F94</f>
        <v>10580.53</v>
      </c>
    </row>
    <row r="96" spans="1:6" s="30" customFormat="1" x14ac:dyDescent="0.25">
      <c r="A96" s="375"/>
      <c r="B96" s="268" t="s">
        <v>41</v>
      </c>
      <c r="C96" s="88"/>
      <c r="D96" s="121">
        <f>+D95/C95</f>
        <v>10071.67</v>
      </c>
      <c r="E96" s="121">
        <f>+E95/C95</f>
        <v>12338.81</v>
      </c>
      <c r="F96" s="149">
        <f>+F95/C95</f>
        <v>12338.81</v>
      </c>
    </row>
    <row r="97" spans="1:6" s="30" customFormat="1" x14ac:dyDescent="0.25">
      <c r="A97" s="375"/>
      <c r="B97" s="268" t="s">
        <v>42</v>
      </c>
      <c r="C97" s="67"/>
      <c r="D97" s="77"/>
      <c r="E97" s="77"/>
      <c r="F97" s="61"/>
    </row>
    <row r="98" spans="1:6" s="30" customFormat="1" x14ac:dyDescent="0.25">
      <c r="A98" s="375"/>
      <c r="B98" s="278" t="s">
        <v>130</v>
      </c>
      <c r="C98" s="54">
        <v>1.6500000000000001E-2</v>
      </c>
      <c r="D98" s="77">
        <f>+D96*C98</f>
        <v>166.18</v>
      </c>
      <c r="E98" s="77">
        <f>+E96*C98</f>
        <v>203.59</v>
      </c>
      <c r="F98" s="61">
        <f>+F96*C98</f>
        <v>203.59</v>
      </c>
    </row>
    <row r="99" spans="1:6" s="30" customFormat="1" x14ac:dyDescent="0.25">
      <c r="A99" s="375"/>
      <c r="B99" s="278" t="s">
        <v>131</v>
      </c>
      <c r="C99" s="54">
        <v>7.5999999999999998E-2</v>
      </c>
      <c r="D99" s="77">
        <f>+D96*C99</f>
        <v>765.45</v>
      </c>
      <c r="E99" s="77">
        <f>+E96*C99</f>
        <v>937.75</v>
      </c>
      <c r="F99" s="61">
        <f>+F96*C99</f>
        <v>937.75</v>
      </c>
    </row>
    <row r="100" spans="1:6" s="30" customFormat="1" x14ac:dyDescent="0.25">
      <c r="A100" s="375"/>
      <c r="B100" s="51" t="s">
        <v>43</v>
      </c>
      <c r="C100" s="88"/>
      <c r="D100" s="77"/>
      <c r="E100" s="77"/>
      <c r="F100" s="61"/>
    </row>
    <row r="101" spans="1:6" s="30" customFormat="1" x14ac:dyDescent="0.25">
      <c r="A101" s="375"/>
      <c r="B101" s="51" t="s">
        <v>44</v>
      </c>
      <c r="C101" s="94"/>
      <c r="D101" s="77"/>
      <c r="E101" s="77"/>
      <c r="F101" s="61"/>
    </row>
    <row r="102" spans="1:6" s="30" customFormat="1" x14ac:dyDescent="0.25">
      <c r="A102" s="375"/>
      <c r="B102" s="278" t="s">
        <v>142</v>
      </c>
      <c r="C102" s="54">
        <v>0.05</v>
      </c>
      <c r="D102" s="77">
        <f>+D96*C102</f>
        <v>503.58</v>
      </c>
      <c r="E102" s="77">
        <f>+E96*C102</f>
        <v>616.94000000000005</v>
      </c>
      <c r="F102" s="61">
        <f>+F96*C102</f>
        <v>616.94000000000005</v>
      </c>
    </row>
    <row r="103" spans="1:6" s="30" customFormat="1" x14ac:dyDescent="0.25">
      <c r="A103" s="265"/>
      <c r="B103" s="98" t="s">
        <v>45</v>
      </c>
      <c r="C103" s="99">
        <f>SUM(C98:C102)</f>
        <v>0.14249999999999999</v>
      </c>
      <c r="D103" s="100">
        <f>SUM(D98:D102)</f>
        <v>1435.21</v>
      </c>
      <c r="E103" s="100">
        <f>SUM(E98:E102)</f>
        <v>1758.28</v>
      </c>
      <c r="F103" s="145">
        <f>SUM(F98:F102)</f>
        <v>1758.28</v>
      </c>
    </row>
    <row r="104" spans="1:6" s="30" customFormat="1" ht="15.75" customHeight="1" x14ac:dyDescent="0.25">
      <c r="A104" s="369" t="s">
        <v>46</v>
      </c>
      <c r="B104" s="370"/>
      <c r="C104" s="370"/>
      <c r="D104" s="79">
        <f>+D93+D94+D103</f>
        <v>2219.89</v>
      </c>
      <c r="E104" s="79">
        <f>+E93+E94+E103</f>
        <v>2719.6</v>
      </c>
      <c r="F104" s="62">
        <f>+F93+F94+F103</f>
        <v>2719.6</v>
      </c>
    </row>
    <row r="105" spans="1:6" s="30" customFormat="1" ht="15.75" customHeight="1" x14ac:dyDescent="0.25">
      <c r="A105" s="420" t="s">
        <v>47</v>
      </c>
      <c r="B105" s="421"/>
      <c r="C105" s="421"/>
      <c r="D105" s="122" t="s">
        <v>10</v>
      </c>
      <c r="E105" s="122" t="s">
        <v>10</v>
      </c>
      <c r="F105" s="150" t="s">
        <v>10</v>
      </c>
    </row>
    <row r="106" spans="1:6" s="30" customFormat="1" x14ac:dyDescent="0.25">
      <c r="A106" s="49" t="s">
        <v>0</v>
      </c>
      <c r="B106" s="378" t="s">
        <v>48</v>
      </c>
      <c r="C106" s="378"/>
      <c r="D106" s="77">
        <f>+D25</f>
        <v>3889.8</v>
      </c>
      <c r="E106" s="77">
        <f>+E25</f>
        <v>3889.8</v>
      </c>
      <c r="F106" s="61">
        <f>+F25</f>
        <v>3889.8</v>
      </c>
    </row>
    <row r="107" spans="1:6" s="30" customFormat="1" x14ac:dyDescent="0.25">
      <c r="A107" s="49" t="s">
        <v>2</v>
      </c>
      <c r="B107" s="378" t="s">
        <v>159</v>
      </c>
      <c r="C107" s="378"/>
      <c r="D107" s="77">
        <f>+D54</f>
        <v>2465.91</v>
      </c>
      <c r="E107" s="77">
        <f>+E54</f>
        <v>2465.91</v>
      </c>
      <c r="F107" s="61">
        <f>+F54</f>
        <v>2465.91</v>
      </c>
    </row>
    <row r="108" spans="1:6" s="30" customFormat="1" x14ac:dyDescent="0.25">
      <c r="A108" s="49" t="s">
        <v>3</v>
      </c>
      <c r="B108" s="378" t="s">
        <v>157</v>
      </c>
      <c r="C108" s="378"/>
      <c r="D108" s="77">
        <f>D62</f>
        <v>278.12</v>
      </c>
      <c r="E108" s="77">
        <f>E62</f>
        <v>278.12</v>
      </c>
      <c r="F108" s="61">
        <f>F62</f>
        <v>278.12</v>
      </c>
    </row>
    <row r="109" spans="1:6" s="30" customFormat="1" x14ac:dyDescent="0.25">
      <c r="A109" s="49" t="s">
        <v>5</v>
      </c>
      <c r="B109" s="378" t="s">
        <v>150</v>
      </c>
      <c r="C109" s="378"/>
      <c r="D109" s="77">
        <f>D82</f>
        <v>194.11</v>
      </c>
      <c r="E109" s="77">
        <f>E82</f>
        <v>194.11</v>
      </c>
      <c r="F109" s="61">
        <f>F82</f>
        <v>194.11</v>
      </c>
    </row>
    <row r="110" spans="1:6" s="30" customFormat="1" x14ac:dyDescent="0.25">
      <c r="A110" s="49" t="s">
        <v>20</v>
      </c>
      <c r="B110" s="378" t="s">
        <v>158</v>
      </c>
      <c r="C110" s="378"/>
      <c r="D110" s="77">
        <f>D89</f>
        <v>1023.84</v>
      </c>
      <c r="E110" s="77">
        <f>E89</f>
        <v>2791.27</v>
      </c>
      <c r="F110" s="61">
        <f>F89</f>
        <v>2791.27</v>
      </c>
    </row>
    <row r="111" spans="1:6" s="30" customFormat="1" ht="15.75" customHeight="1" x14ac:dyDescent="0.25">
      <c r="A111" s="375" t="s">
        <v>160</v>
      </c>
      <c r="B111" s="372"/>
      <c r="C111" s="372"/>
      <c r="D111" s="100">
        <f>SUM(D106:D110)</f>
        <v>7851.78</v>
      </c>
      <c r="E111" s="100">
        <f>SUM(E106:E110)</f>
        <v>9619.2099999999991</v>
      </c>
      <c r="F111" s="145">
        <f>SUM(F106:F110)</f>
        <v>9619.2099999999991</v>
      </c>
    </row>
    <row r="112" spans="1:6" s="30" customFormat="1" x14ac:dyDescent="0.25">
      <c r="A112" s="265" t="s">
        <v>20</v>
      </c>
      <c r="B112" s="378" t="s">
        <v>161</v>
      </c>
      <c r="C112" s="378"/>
      <c r="D112" s="77">
        <f>+D104</f>
        <v>2219.89</v>
      </c>
      <c r="E112" s="77">
        <f>+E104</f>
        <v>2719.6</v>
      </c>
      <c r="F112" s="61">
        <f>+F104</f>
        <v>2719.6</v>
      </c>
    </row>
    <row r="113" spans="1:6" s="30" customFormat="1" ht="16.5" customHeight="1" thickBot="1" x14ac:dyDescent="0.3">
      <c r="A113" s="361" t="s">
        <v>49</v>
      </c>
      <c r="B113" s="362"/>
      <c r="C113" s="362"/>
      <c r="D113" s="123">
        <f>+D111+D112</f>
        <v>10071.67</v>
      </c>
      <c r="E113" s="123">
        <f>+E111+E112</f>
        <v>12338.81</v>
      </c>
      <c r="F113" s="151">
        <f>+F111+F112</f>
        <v>12338.81</v>
      </c>
    </row>
    <row r="114" spans="1:6" x14ac:dyDescent="0.25">
      <c r="C114" s="31"/>
      <c r="D114" s="31"/>
      <c r="E114" s="31"/>
      <c r="F114" s="33"/>
    </row>
    <row r="115" spans="1:6" x14ac:dyDescent="0.25">
      <c r="B115" s="28"/>
      <c r="C115" s="31"/>
      <c r="D115" s="31"/>
      <c r="E115" s="31"/>
      <c r="F115" s="34"/>
    </row>
    <row r="116" spans="1:6" x14ac:dyDescent="0.25">
      <c r="B116" s="28"/>
      <c r="C116" s="31"/>
      <c r="D116" s="31"/>
      <c r="E116" s="31"/>
      <c r="F116" s="34" t="s">
        <v>129</v>
      </c>
    </row>
    <row r="117" spans="1:6" x14ac:dyDescent="0.25">
      <c r="B117" s="28"/>
      <c r="C117" s="374"/>
      <c r="D117" s="374"/>
      <c r="E117" s="374"/>
      <c r="F117" s="374"/>
    </row>
    <row r="118" spans="1:6" x14ac:dyDescent="0.25">
      <c r="B118" s="28"/>
      <c r="C118" s="31"/>
      <c r="D118" s="31"/>
      <c r="E118" s="31"/>
      <c r="F118" s="35"/>
    </row>
    <row r="120" spans="1:6" x14ac:dyDescent="0.25">
      <c r="B120" s="36"/>
    </row>
    <row r="125" spans="1:6" x14ac:dyDescent="0.25">
      <c r="B125" s="28"/>
    </row>
  </sheetData>
  <mergeCells count="63">
    <mergeCell ref="B112:C112"/>
    <mergeCell ref="A113:C113"/>
    <mergeCell ref="C117:F117"/>
    <mergeCell ref="B106:C106"/>
    <mergeCell ref="B107:C107"/>
    <mergeCell ref="B108:C108"/>
    <mergeCell ref="B109:C109"/>
    <mergeCell ref="B110:C110"/>
    <mergeCell ref="A111:C111"/>
    <mergeCell ref="A83:C83"/>
    <mergeCell ref="A105:C105"/>
    <mergeCell ref="B84:C84"/>
    <mergeCell ref="B85:C85"/>
    <mergeCell ref="B86:C86"/>
    <mergeCell ref="B87:C87"/>
    <mergeCell ref="B88:C88"/>
    <mergeCell ref="A89:C89"/>
    <mergeCell ref="A90:C90"/>
    <mergeCell ref="B92:C92"/>
    <mergeCell ref="A95:A102"/>
    <mergeCell ref="A104:C104"/>
    <mergeCell ref="A91:C91"/>
    <mergeCell ref="A75:B75"/>
    <mergeCell ref="B78:C78"/>
    <mergeCell ref="A81:B81"/>
    <mergeCell ref="A82:C82"/>
    <mergeCell ref="A63:C63"/>
    <mergeCell ref="A76:C76"/>
    <mergeCell ref="A77:C77"/>
    <mergeCell ref="A26:C26"/>
    <mergeCell ref="A62:C62"/>
    <mergeCell ref="B64:C64"/>
    <mergeCell ref="A71:B71"/>
    <mergeCell ref="B73:C73"/>
    <mergeCell ref="B56:C56"/>
    <mergeCell ref="B27:C27"/>
    <mergeCell ref="A30:B30"/>
    <mergeCell ref="B32:C32"/>
    <mergeCell ref="A41:B41"/>
    <mergeCell ref="B43:C43"/>
    <mergeCell ref="A54:C54"/>
    <mergeCell ref="A42:C42"/>
    <mergeCell ref="A50:C50"/>
    <mergeCell ref="A55:C55"/>
    <mergeCell ref="A25:C25"/>
    <mergeCell ref="C7:F7"/>
    <mergeCell ref="A8:F8"/>
    <mergeCell ref="A9:F9"/>
    <mergeCell ref="A10:F10"/>
    <mergeCell ref="A11:C11"/>
    <mergeCell ref="C12:F12"/>
    <mergeCell ref="C13:F13"/>
    <mergeCell ref="C14:F14"/>
    <mergeCell ref="C15:F15"/>
    <mergeCell ref="A16:C16"/>
    <mergeCell ref="B17:C17"/>
    <mergeCell ref="D11:F11"/>
    <mergeCell ref="C6:F6"/>
    <mergeCell ref="A1:F1"/>
    <mergeCell ref="A2:F2"/>
    <mergeCell ref="A3:F3"/>
    <mergeCell ref="C4:F4"/>
    <mergeCell ref="C5:F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5"/>
  <sheetViews>
    <sheetView view="pageBreakPreview" zoomScaleNormal="115" zoomScaleSheetLayoutView="100" workbookViewId="0">
      <selection activeCell="A32" sqref="A32:A37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3" width="15.7109375" style="32" customWidth="1"/>
    <col min="4" max="4" width="15.7109375" style="37" customWidth="1"/>
    <col min="5" max="5" width="9.140625" style="28" customWidth="1"/>
    <col min="6" max="16384" width="9.140625" style="28"/>
  </cols>
  <sheetData>
    <row r="1" spans="1:4" x14ac:dyDescent="0.25">
      <c r="A1" s="385"/>
      <c r="B1" s="386"/>
      <c r="C1" s="386"/>
      <c r="D1" s="387"/>
    </row>
    <row r="2" spans="1:4" s="38" customFormat="1" ht="16.5" customHeight="1" x14ac:dyDescent="0.25">
      <c r="A2" s="358" t="s">
        <v>132</v>
      </c>
      <c r="B2" s="359"/>
      <c r="C2" s="359"/>
      <c r="D2" s="360"/>
    </row>
    <row r="3" spans="1:4" s="38" customFormat="1" x14ac:dyDescent="0.25">
      <c r="A3" s="355" t="s">
        <v>129</v>
      </c>
      <c r="B3" s="356"/>
      <c r="C3" s="356"/>
      <c r="D3" s="357"/>
    </row>
    <row r="4" spans="1:4" s="38" customFormat="1" ht="15" customHeight="1" x14ac:dyDescent="0.25">
      <c r="A4" s="40" t="s">
        <v>0</v>
      </c>
      <c r="B4" s="174" t="s">
        <v>1</v>
      </c>
      <c r="C4" s="392">
        <v>2024</v>
      </c>
      <c r="D4" s="393"/>
    </row>
    <row r="5" spans="1:4" s="38" customFormat="1" ht="129.94999999999999" customHeight="1" x14ac:dyDescent="0.25">
      <c r="A5" s="40" t="s">
        <v>2</v>
      </c>
      <c r="B5" s="174" t="s">
        <v>140</v>
      </c>
      <c r="C5" s="394" t="s">
        <v>268</v>
      </c>
      <c r="D5" s="395"/>
    </row>
    <row r="6" spans="1:4" s="38" customFormat="1" ht="15.75" customHeight="1" x14ac:dyDescent="0.25">
      <c r="A6" s="40" t="s">
        <v>3</v>
      </c>
      <c r="B6" s="174" t="s">
        <v>4</v>
      </c>
      <c r="C6" s="394" t="s">
        <v>274</v>
      </c>
      <c r="D6" s="395"/>
    </row>
    <row r="7" spans="1:4" s="38" customFormat="1" x14ac:dyDescent="0.25">
      <c r="A7" s="40" t="s">
        <v>5</v>
      </c>
      <c r="B7" s="174" t="s">
        <v>143</v>
      </c>
      <c r="C7" s="394">
        <v>12</v>
      </c>
      <c r="D7" s="395"/>
    </row>
    <row r="8" spans="1:4" s="38" customFormat="1" x14ac:dyDescent="0.25">
      <c r="A8" s="355" t="s">
        <v>6</v>
      </c>
      <c r="B8" s="356"/>
      <c r="C8" s="356"/>
      <c r="D8" s="357"/>
    </row>
    <row r="9" spans="1:4" s="38" customFormat="1" x14ac:dyDescent="0.25">
      <c r="A9" s="355" t="s">
        <v>7</v>
      </c>
      <c r="B9" s="356"/>
      <c r="C9" s="356"/>
      <c r="D9" s="357"/>
    </row>
    <row r="10" spans="1:4" s="38" customFormat="1" ht="15.75" customHeight="1" x14ac:dyDescent="0.25">
      <c r="A10" s="355" t="s">
        <v>8</v>
      </c>
      <c r="B10" s="356"/>
      <c r="C10" s="356"/>
      <c r="D10" s="357"/>
    </row>
    <row r="11" spans="1:4" s="38" customFormat="1" ht="30" customHeight="1" x14ac:dyDescent="0.25">
      <c r="A11" s="396" t="s">
        <v>9</v>
      </c>
      <c r="B11" s="397"/>
      <c r="C11" s="397"/>
      <c r="D11" s="184"/>
    </row>
    <row r="12" spans="1:4" s="38" customFormat="1" ht="114.95" customHeight="1" x14ac:dyDescent="0.25">
      <c r="A12" s="40">
        <v>1</v>
      </c>
      <c r="B12" s="173" t="s">
        <v>133</v>
      </c>
      <c r="C12" s="388" t="s">
        <v>269</v>
      </c>
      <c r="D12" s="389"/>
    </row>
    <row r="13" spans="1:4" s="38" customFormat="1" ht="30" customHeight="1" x14ac:dyDescent="0.25">
      <c r="A13" s="40">
        <v>2</v>
      </c>
      <c r="B13" s="173" t="s">
        <v>11</v>
      </c>
      <c r="C13" s="422">
        <v>3325</v>
      </c>
      <c r="D13" s="423"/>
    </row>
    <row r="14" spans="1:4" s="38" customFormat="1" ht="30" customHeight="1" x14ac:dyDescent="0.25">
      <c r="A14" s="40">
        <v>3</v>
      </c>
      <c r="B14" s="173" t="s">
        <v>12</v>
      </c>
      <c r="C14" s="388" t="s">
        <v>233</v>
      </c>
      <c r="D14" s="389"/>
    </row>
    <row r="15" spans="1:4" s="38" customFormat="1" x14ac:dyDescent="0.25">
      <c r="A15" s="40">
        <v>4</v>
      </c>
      <c r="B15" s="211" t="s">
        <v>13</v>
      </c>
      <c r="C15" s="390"/>
      <c r="D15" s="391"/>
    </row>
    <row r="16" spans="1:4" s="39" customFormat="1" x14ac:dyDescent="0.25">
      <c r="A16" s="353" t="s">
        <v>14</v>
      </c>
      <c r="B16" s="354"/>
      <c r="C16" s="354"/>
      <c r="D16" s="134" t="s">
        <v>266</v>
      </c>
    </row>
    <row r="17" spans="1:4" s="39" customFormat="1" x14ac:dyDescent="0.25">
      <c r="A17" s="175">
        <v>1</v>
      </c>
      <c r="B17" s="371" t="s">
        <v>15</v>
      </c>
      <c r="C17" s="371"/>
      <c r="D17" s="57" t="s">
        <v>10</v>
      </c>
    </row>
    <row r="18" spans="1:4" s="38" customFormat="1" ht="15.75" customHeight="1" x14ac:dyDescent="0.25">
      <c r="A18" s="44" t="s">
        <v>0</v>
      </c>
      <c r="B18" s="223" t="s">
        <v>16</v>
      </c>
      <c r="C18" s="211"/>
      <c r="D18" s="58">
        <f>C13</f>
        <v>3325</v>
      </c>
    </row>
    <row r="19" spans="1:4" s="38" customFormat="1" ht="15.75" customHeight="1" x14ac:dyDescent="0.25">
      <c r="A19" s="44" t="s">
        <v>2</v>
      </c>
      <c r="B19" s="223" t="s">
        <v>17</v>
      </c>
      <c r="C19" s="212"/>
      <c r="D19" s="59"/>
    </row>
    <row r="20" spans="1:4" s="38" customFormat="1" ht="15.75" customHeight="1" x14ac:dyDescent="0.25">
      <c r="A20" s="44" t="s">
        <v>3</v>
      </c>
      <c r="B20" s="223" t="s">
        <v>18</v>
      </c>
      <c r="C20" s="108" t="s">
        <v>242</v>
      </c>
      <c r="D20" s="59">
        <f>40%*1412</f>
        <v>564.79999999999995</v>
      </c>
    </row>
    <row r="21" spans="1:4" s="38" customFormat="1" ht="15.75" customHeight="1" x14ac:dyDescent="0.25">
      <c r="A21" s="44" t="s">
        <v>5</v>
      </c>
      <c r="B21" s="223" t="s">
        <v>19</v>
      </c>
      <c r="C21" s="212"/>
      <c r="D21" s="59">
        <f>((((D18+D20)/220)*20%)*8)*15.21</f>
        <v>430.28</v>
      </c>
    </row>
    <row r="22" spans="1:4" s="38" customFormat="1" ht="15.75" customHeight="1" x14ac:dyDescent="0.25">
      <c r="A22" s="44" t="s">
        <v>20</v>
      </c>
      <c r="B22" s="223" t="s">
        <v>204</v>
      </c>
      <c r="C22" s="212"/>
      <c r="D22" s="59"/>
    </row>
    <row r="23" spans="1:4" s="38" customFormat="1" x14ac:dyDescent="0.25">
      <c r="A23" s="44" t="s">
        <v>21</v>
      </c>
      <c r="B23" s="223" t="s">
        <v>138</v>
      </c>
      <c r="C23" s="108"/>
      <c r="D23" s="59"/>
    </row>
    <row r="24" spans="1:4" s="38" customFormat="1" ht="15.75" customHeight="1" x14ac:dyDescent="0.25">
      <c r="A24" s="44" t="s">
        <v>22</v>
      </c>
      <c r="B24" s="183" t="s">
        <v>139</v>
      </c>
      <c r="C24" s="108"/>
      <c r="D24" s="59"/>
    </row>
    <row r="25" spans="1:4" s="39" customFormat="1" ht="15.75" customHeight="1" x14ac:dyDescent="0.25">
      <c r="A25" s="349" t="s">
        <v>152</v>
      </c>
      <c r="B25" s="350"/>
      <c r="C25" s="350"/>
      <c r="D25" s="60">
        <f>SUM(D18:D24)</f>
        <v>4320.08</v>
      </c>
    </row>
    <row r="26" spans="1:4" s="39" customFormat="1" x14ac:dyDescent="0.25">
      <c r="A26" s="353" t="s">
        <v>51</v>
      </c>
      <c r="B26" s="354"/>
      <c r="C26" s="354"/>
      <c r="D26" s="429"/>
    </row>
    <row r="27" spans="1:4" s="38" customFormat="1" x14ac:dyDescent="0.25">
      <c r="A27" s="181" t="s">
        <v>141</v>
      </c>
      <c r="B27" s="345" t="s">
        <v>205</v>
      </c>
      <c r="C27" s="363"/>
      <c r="D27" s="129" t="s">
        <v>10</v>
      </c>
    </row>
    <row r="28" spans="1:4" s="38" customFormat="1" x14ac:dyDescent="0.25">
      <c r="A28" s="49" t="s">
        <v>0</v>
      </c>
      <c r="B28" s="182" t="s">
        <v>28</v>
      </c>
      <c r="C28" s="54">
        <f>1/12</f>
        <v>8.3299999999999999E-2</v>
      </c>
      <c r="D28" s="61">
        <f>(D25)*C28</f>
        <v>359.86</v>
      </c>
    </row>
    <row r="29" spans="1:4" s="38" customFormat="1" x14ac:dyDescent="0.25">
      <c r="A29" s="49" t="s">
        <v>2</v>
      </c>
      <c r="B29" s="182" t="s">
        <v>148</v>
      </c>
      <c r="C29" s="54">
        <v>0.1111</v>
      </c>
      <c r="D29" s="61">
        <f>(D25)*C29</f>
        <v>479.96</v>
      </c>
    </row>
    <row r="30" spans="1:4" x14ac:dyDescent="0.25">
      <c r="A30" s="369" t="s">
        <v>27</v>
      </c>
      <c r="B30" s="370"/>
      <c r="C30" s="91">
        <f>SUM(C28:C29)</f>
        <v>0.19439999999999999</v>
      </c>
      <c r="D30" s="62">
        <f>SUM(D28:D29)</f>
        <v>839.82</v>
      </c>
    </row>
    <row r="31" spans="1:4" ht="32.25" customHeight="1" x14ac:dyDescent="0.25">
      <c r="A31" s="430" t="s">
        <v>190</v>
      </c>
      <c r="B31" s="431"/>
      <c r="C31" s="431"/>
      <c r="D31" s="432"/>
    </row>
    <row r="32" spans="1:4" x14ac:dyDescent="0.25">
      <c r="A32" s="179" t="s">
        <v>141</v>
      </c>
      <c r="B32" s="348" t="s">
        <v>25</v>
      </c>
      <c r="C32" s="411"/>
      <c r="D32" s="127" t="s">
        <v>10</v>
      </c>
    </row>
    <row r="33" spans="1:4" x14ac:dyDescent="0.25">
      <c r="A33" s="49" t="s">
        <v>0</v>
      </c>
      <c r="B33" s="80" t="s">
        <v>207</v>
      </c>
      <c r="C33" s="54">
        <v>0.2</v>
      </c>
      <c r="D33" s="61">
        <f t="shared" ref="D33:D40" si="0">($D$25+D$30)*C33</f>
        <v>1031.98</v>
      </c>
    </row>
    <row r="34" spans="1:4" x14ac:dyDescent="0.25">
      <c r="A34" s="49" t="s">
        <v>2</v>
      </c>
      <c r="B34" s="80" t="s">
        <v>208</v>
      </c>
      <c r="C34" s="81">
        <v>1.4999999999999999E-2</v>
      </c>
      <c r="D34" s="61">
        <f t="shared" si="0"/>
        <v>77.400000000000006</v>
      </c>
    </row>
    <row r="35" spans="1:4" x14ac:dyDescent="0.25">
      <c r="A35" s="49" t="s">
        <v>3</v>
      </c>
      <c r="B35" s="80" t="s">
        <v>209</v>
      </c>
      <c r="C35" s="81">
        <v>0.01</v>
      </c>
      <c r="D35" s="61">
        <f t="shared" si="0"/>
        <v>51.6</v>
      </c>
    </row>
    <row r="36" spans="1:4" ht="31.5" x14ac:dyDescent="0.25">
      <c r="A36" s="49" t="s">
        <v>5</v>
      </c>
      <c r="B36" s="180" t="s">
        <v>210</v>
      </c>
      <c r="C36" s="81">
        <v>2E-3</v>
      </c>
      <c r="D36" s="61">
        <f t="shared" si="0"/>
        <v>10.32</v>
      </c>
    </row>
    <row r="37" spans="1:4" x14ac:dyDescent="0.25">
      <c r="A37" s="49" t="s">
        <v>20</v>
      </c>
      <c r="B37" s="80" t="s">
        <v>211</v>
      </c>
      <c r="C37" s="81">
        <v>2.5000000000000001E-2</v>
      </c>
      <c r="D37" s="61">
        <f t="shared" si="0"/>
        <v>129</v>
      </c>
    </row>
    <row r="38" spans="1:4" x14ac:dyDescent="0.25">
      <c r="A38" s="49" t="s">
        <v>21</v>
      </c>
      <c r="B38" s="107" t="s">
        <v>212</v>
      </c>
      <c r="C38" s="81">
        <v>0.08</v>
      </c>
      <c r="D38" s="61">
        <f t="shared" si="0"/>
        <v>412.79</v>
      </c>
    </row>
    <row r="39" spans="1:4" ht="47.25" x14ac:dyDescent="0.25">
      <c r="A39" s="49" t="s">
        <v>22</v>
      </c>
      <c r="B39" s="180" t="s">
        <v>213</v>
      </c>
      <c r="C39" s="81">
        <v>0.03</v>
      </c>
      <c r="D39" s="61">
        <f t="shared" si="0"/>
        <v>154.80000000000001</v>
      </c>
    </row>
    <row r="40" spans="1:4" x14ac:dyDescent="0.25">
      <c r="A40" s="49" t="s">
        <v>26</v>
      </c>
      <c r="B40" s="106" t="s">
        <v>214</v>
      </c>
      <c r="C40" s="81">
        <v>6.0000000000000001E-3</v>
      </c>
      <c r="D40" s="61">
        <f t="shared" si="0"/>
        <v>30.96</v>
      </c>
    </row>
    <row r="41" spans="1:4" s="30" customFormat="1" x14ac:dyDescent="0.25">
      <c r="A41" s="369" t="s">
        <v>27</v>
      </c>
      <c r="B41" s="370"/>
      <c r="C41" s="55">
        <f>SUM(C33:C40)</f>
        <v>0.36799999999999999</v>
      </c>
      <c r="D41" s="62">
        <f>SUM(D33:D40)</f>
        <v>1898.85</v>
      </c>
    </row>
    <row r="42" spans="1:4" s="30" customFormat="1" x14ac:dyDescent="0.25">
      <c r="A42" s="351" t="s">
        <v>173</v>
      </c>
      <c r="B42" s="352"/>
      <c r="C42" s="352"/>
      <c r="D42" s="433"/>
    </row>
    <row r="43" spans="1:4" s="30" customFormat="1" x14ac:dyDescent="0.25">
      <c r="A43" s="219" t="s">
        <v>216</v>
      </c>
      <c r="B43" s="128" t="s">
        <v>217</v>
      </c>
      <c r="C43" s="104"/>
      <c r="D43" s="140"/>
    </row>
    <row r="44" spans="1:4" s="30" customFormat="1" x14ac:dyDescent="0.25">
      <c r="A44" s="90" t="s">
        <v>0</v>
      </c>
      <c r="B44" s="222" t="s">
        <v>144</v>
      </c>
      <c r="C44" s="105"/>
      <c r="D44" s="124">
        <v>0</v>
      </c>
    </row>
    <row r="45" spans="1:4" s="30" customFormat="1" x14ac:dyDescent="0.25">
      <c r="A45" s="47" t="s">
        <v>2</v>
      </c>
      <c r="B45" s="183" t="s">
        <v>191</v>
      </c>
      <c r="C45" s="72"/>
      <c r="D45" s="58">
        <v>0</v>
      </c>
    </row>
    <row r="46" spans="1:4" s="30" customFormat="1" x14ac:dyDescent="0.25">
      <c r="A46" s="49" t="s">
        <v>3</v>
      </c>
      <c r="B46" s="182" t="s">
        <v>134</v>
      </c>
      <c r="C46" s="66"/>
      <c r="D46" s="63">
        <v>0</v>
      </c>
    </row>
    <row r="47" spans="1:4" s="30" customFormat="1" x14ac:dyDescent="0.25">
      <c r="A47" s="49" t="s">
        <v>5</v>
      </c>
      <c r="B47" s="182" t="s">
        <v>135</v>
      </c>
      <c r="C47" s="54"/>
      <c r="D47" s="63">
        <v>0</v>
      </c>
    </row>
    <row r="48" spans="1:4" s="30" customFormat="1" x14ac:dyDescent="0.25">
      <c r="A48" s="49" t="s">
        <v>20</v>
      </c>
      <c r="B48" s="182" t="s">
        <v>136</v>
      </c>
      <c r="C48" s="66"/>
      <c r="D48" s="61">
        <v>0</v>
      </c>
    </row>
    <row r="49" spans="1:4" s="30" customFormat="1" ht="15.75" customHeight="1" x14ac:dyDescent="0.25">
      <c r="A49" s="369" t="s">
        <v>23</v>
      </c>
      <c r="B49" s="370"/>
      <c r="C49" s="370"/>
      <c r="D49" s="62">
        <f>SUM(D44:D48)</f>
        <v>0</v>
      </c>
    </row>
    <row r="50" spans="1:4" s="30" customFormat="1" ht="15.75" customHeight="1" x14ac:dyDescent="0.25">
      <c r="A50" s="351" t="s">
        <v>224</v>
      </c>
      <c r="B50" s="352"/>
      <c r="C50" s="352"/>
      <c r="D50" s="433"/>
    </row>
    <row r="51" spans="1:4" s="30" customFormat="1" ht="15.75" customHeight="1" x14ac:dyDescent="0.25">
      <c r="A51" s="175" t="s">
        <v>141</v>
      </c>
      <c r="B51" s="96" t="s">
        <v>145</v>
      </c>
      <c r="C51" s="176"/>
      <c r="D51" s="142">
        <f>D30</f>
        <v>839.82</v>
      </c>
    </row>
    <row r="52" spans="1:4" s="30" customFormat="1" ht="15.75" customHeight="1" x14ac:dyDescent="0.25">
      <c r="A52" s="175" t="s">
        <v>215</v>
      </c>
      <c r="B52" s="96" t="s">
        <v>146</v>
      </c>
      <c r="C52" s="176"/>
      <c r="D52" s="142">
        <f>D41</f>
        <v>1898.85</v>
      </c>
    </row>
    <row r="53" spans="1:4" s="30" customFormat="1" ht="15.75" customHeight="1" x14ac:dyDescent="0.25">
      <c r="A53" s="175" t="s">
        <v>216</v>
      </c>
      <c r="B53" s="96" t="s">
        <v>147</v>
      </c>
      <c r="C53" s="176"/>
      <c r="D53" s="142">
        <f>D49</f>
        <v>0</v>
      </c>
    </row>
    <row r="54" spans="1:4" s="30" customFormat="1" ht="15.75" customHeight="1" x14ac:dyDescent="0.25">
      <c r="A54" s="349" t="s">
        <v>153</v>
      </c>
      <c r="B54" s="350"/>
      <c r="C54" s="350"/>
      <c r="D54" s="60">
        <f>SUM(D51:D53)</f>
        <v>2738.67</v>
      </c>
    </row>
    <row r="55" spans="1:4" s="30" customFormat="1" ht="15.75" customHeight="1" x14ac:dyDescent="0.25">
      <c r="A55" s="353" t="s">
        <v>162</v>
      </c>
      <c r="B55" s="354"/>
      <c r="C55" s="354"/>
      <c r="D55" s="429"/>
    </row>
    <row r="56" spans="1:4" s="30" customFormat="1" ht="15.75" customHeight="1" x14ac:dyDescent="0.25">
      <c r="A56" s="181" t="s">
        <v>200</v>
      </c>
      <c r="B56" s="345" t="s">
        <v>32</v>
      </c>
      <c r="C56" s="346"/>
      <c r="D56" s="129" t="s">
        <v>10</v>
      </c>
    </row>
    <row r="57" spans="1:4" s="30" customFormat="1" ht="15.75" customHeight="1" x14ac:dyDescent="0.25">
      <c r="A57" s="49" t="s">
        <v>0</v>
      </c>
      <c r="B57" s="182" t="s">
        <v>33</v>
      </c>
      <c r="C57" s="54">
        <v>4.5999999999999999E-3</v>
      </c>
      <c r="D57" s="61">
        <f>D$25*C57</f>
        <v>19.87</v>
      </c>
    </row>
    <row r="58" spans="1:4" s="30" customFormat="1" ht="15.75" customHeight="1" x14ac:dyDescent="0.25">
      <c r="A58" s="49" t="s">
        <v>2</v>
      </c>
      <c r="B58" s="182" t="s">
        <v>34</v>
      </c>
      <c r="C58" s="54">
        <v>4.0000000000000002E-4</v>
      </c>
      <c r="D58" s="61">
        <f>D$25*C58</f>
        <v>1.73</v>
      </c>
    </row>
    <row r="59" spans="1:4" s="30" customFormat="1" ht="15.75" customHeight="1" x14ac:dyDescent="0.25">
      <c r="A59" s="49" t="s">
        <v>3</v>
      </c>
      <c r="B59" s="80" t="s">
        <v>35</v>
      </c>
      <c r="C59" s="54">
        <v>1.9400000000000001E-2</v>
      </c>
      <c r="D59" s="61">
        <f>D$25*C59</f>
        <v>83.81</v>
      </c>
    </row>
    <row r="60" spans="1:4" s="30" customFormat="1" ht="30.75" customHeight="1" x14ac:dyDescent="0.25">
      <c r="A60" s="49" t="s">
        <v>5</v>
      </c>
      <c r="B60" s="182" t="s">
        <v>174</v>
      </c>
      <c r="C60" s="54">
        <v>7.1000000000000004E-3</v>
      </c>
      <c r="D60" s="61">
        <f>D$25*C60</f>
        <v>30.67</v>
      </c>
    </row>
    <row r="61" spans="1:4" s="30" customFormat="1" ht="15.75" customHeight="1" x14ac:dyDescent="0.25">
      <c r="A61" s="49" t="s">
        <v>20</v>
      </c>
      <c r="B61" s="182" t="s">
        <v>149</v>
      </c>
      <c r="C61" s="54">
        <v>0.04</v>
      </c>
      <c r="D61" s="61">
        <f>D$25*C61</f>
        <v>172.8</v>
      </c>
    </row>
    <row r="62" spans="1:4" s="30" customFormat="1" x14ac:dyDescent="0.25">
      <c r="A62" s="349" t="s">
        <v>154</v>
      </c>
      <c r="B62" s="350"/>
      <c r="C62" s="350"/>
      <c r="D62" s="60">
        <f>SUM(D57:D61)</f>
        <v>308.88</v>
      </c>
    </row>
    <row r="63" spans="1:4" s="30" customFormat="1" x14ac:dyDescent="0.25">
      <c r="A63" s="353" t="s">
        <v>163</v>
      </c>
      <c r="B63" s="354"/>
      <c r="C63" s="354"/>
      <c r="D63" s="429"/>
    </row>
    <row r="64" spans="1:4" s="30" customFormat="1" x14ac:dyDescent="0.25">
      <c r="A64" s="181" t="s">
        <v>199</v>
      </c>
      <c r="B64" s="382" t="s">
        <v>198</v>
      </c>
      <c r="C64" s="382"/>
      <c r="D64" s="129" t="s">
        <v>10</v>
      </c>
    </row>
    <row r="65" spans="1:4" s="30" customFormat="1" x14ac:dyDescent="0.25">
      <c r="A65" s="49" t="s">
        <v>0</v>
      </c>
      <c r="B65" s="182" t="s">
        <v>192</v>
      </c>
      <c r="C65" s="54">
        <f>C29/12</f>
        <v>9.2999999999999992E-3</v>
      </c>
      <c r="D65" s="61">
        <f t="shared" ref="D65:D70" si="1">(D$25+D$54+D$62+D$85)*C65</f>
        <v>68.86</v>
      </c>
    </row>
    <row r="66" spans="1:4" s="30" customFormat="1" x14ac:dyDescent="0.25">
      <c r="A66" s="49" t="s">
        <v>2</v>
      </c>
      <c r="B66" s="182" t="s">
        <v>193</v>
      </c>
      <c r="C66" s="54">
        <v>1.66E-2</v>
      </c>
      <c r="D66" s="61">
        <f t="shared" si="1"/>
        <v>122.91</v>
      </c>
    </row>
    <row r="67" spans="1:4" s="30" customFormat="1" x14ac:dyDescent="0.25">
      <c r="A67" s="49" t="s">
        <v>3</v>
      </c>
      <c r="B67" s="182" t="s">
        <v>194</v>
      </c>
      <c r="C67" s="54">
        <v>2.0000000000000001E-4</v>
      </c>
      <c r="D67" s="61">
        <f t="shared" si="1"/>
        <v>1.48</v>
      </c>
    </row>
    <row r="68" spans="1:4" s="30" customFormat="1" x14ac:dyDescent="0.25">
      <c r="A68" s="49" t="s">
        <v>5</v>
      </c>
      <c r="B68" s="182" t="s">
        <v>195</v>
      </c>
      <c r="C68" s="54">
        <v>2.7000000000000001E-3</v>
      </c>
      <c r="D68" s="61">
        <f t="shared" si="1"/>
        <v>19.989999999999998</v>
      </c>
    </row>
    <row r="69" spans="1:4" s="30" customFormat="1" x14ac:dyDescent="0.25">
      <c r="A69" s="49" t="s">
        <v>20</v>
      </c>
      <c r="B69" s="182" t="s">
        <v>196</v>
      </c>
      <c r="C69" s="54">
        <v>2.9999999999999997E-4</v>
      </c>
      <c r="D69" s="61">
        <f t="shared" si="1"/>
        <v>2.2200000000000002</v>
      </c>
    </row>
    <row r="70" spans="1:4" s="30" customFormat="1" ht="15.75" customHeight="1" x14ac:dyDescent="0.25">
      <c r="A70" s="49" t="s">
        <v>21</v>
      </c>
      <c r="B70" s="182" t="s">
        <v>197</v>
      </c>
      <c r="C70" s="54">
        <v>0</v>
      </c>
      <c r="D70" s="61">
        <f t="shared" si="1"/>
        <v>0</v>
      </c>
    </row>
    <row r="71" spans="1:4" s="30" customFormat="1" x14ac:dyDescent="0.25">
      <c r="A71" s="369" t="s">
        <v>29</v>
      </c>
      <c r="B71" s="370"/>
      <c r="C71" s="55">
        <f>SUM(C65:C70)</f>
        <v>2.9100000000000001E-2</v>
      </c>
      <c r="D71" s="62">
        <f>SUM(D65:D70)</f>
        <v>215.46</v>
      </c>
    </row>
    <row r="72" spans="1:4" s="30" customFormat="1" x14ac:dyDescent="0.25">
      <c r="A72" s="175"/>
      <c r="B72" s="176"/>
      <c r="C72" s="92"/>
      <c r="D72" s="58"/>
    </row>
    <row r="73" spans="1:4" s="30" customFormat="1" x14ac:dyDescent="0.25">
      <c r="A73" s="175"/>
      <c r="B73" s="371" t="s">
        <v>201</v>
      </c>
      <c r="C73" s="381"/>
      <c r="D73" s="129" t="s">
        <v>10</v>
      </c>
    </row>
    <row r="74" spans="1:4" s="30" customFormat="1" x14ac:dyDescent="0.25">
      <c r="A74" s="49" t="s">
        <v>0</v>
      </c>
      <c r="B74" s="182" t="s">
        <v>202</v>
      </c>
      <c r="C74" s="54">
        <v>0</v>
      </c>
      <c r="D74" s="61">
        <f>(D$25+D$54+D$62)*C74</f>
        <v>0</v>
      </c>
    </row>
    <row r="75" spans="1:4" s="30" customFormat="1" ht="15.75" customHeight="1" x14ac:dyDescent="0.25">
      <c r="A75" s="369" t="s">
        <v>27</v>
      </c>
      <c r="B75" s="370"/>
      <c r="C75" s="93">
        <f>C74</f>
        <v>0</v>
      </c>
      <c r="D75" s="62">
        <f>D74</f>
        <v>0</v>
      </c>
    </row>
    <row r="76" spans="1:4" s="30" customFormat="1" ht="15.75" customHeight="1" x14ac:dyDescent="0.25">
      <c r="A76" s="351" t="s">
        <v>30</v>
      </c>
      <c r="B76" s="352"/>
      <c r="C76" s="352"/>
      <c r="D76" s="433"/>
    </row>
    <row r="77" spans="1:4" s="30" customFormat="1" ht="15.75" customHeight="1" x14ac:dyDescent="0.25">
      <c r="A77" s="427" t="s">
        <v>203</v>
      </c>
      <c r="B77" s="428"/>
      <c r="C77" s="428"/>
      <c r="D77" s="434"/>
    </row>
    <row r="78" spans="1:4" s="30" customFormat="1" ht="15.75" customHeight="1" x14ac:dyDescent="0.25">
      <c r="A78" s="181">
        <v>4</v>
      </c>
      <c r="B78" s="345" t="s">
        <v>31</v>
      </c>
      <c r="C78" s="346"/>
      <c r="D78" s="129" t="s">
        <v>10</v>
      </c>
    </row>
    <row r="79" spans="1:4" s="30" customFormat="1" ht="15.75" customHeight="1" x14ac:dyDescent="0.25">
      <c r="A79" s="49" t="s">
        <v>199</v>
      </c>
      <c r="B79" s="182" t="s">
        <v>198</v>
      </c>
      <c r="C79" s="54">
        <f>C71</f>
        <v>2.9100000000000001E-2</v>
      </c>
      <c r="D79" s="61">
        <f>D71</f>
        <v>215.46</v>
      </c>
    </row>
    <row r="80" spans="1:4" s="30" customFormat="1" ht="15.75" customHeight="1" x14ac:dyDescent="0.25">
      <c r="A80" s="49" t="s">
        <v>221</v>
      </c>
      <c r="B80" s="182" t="s">
        <v>201</v>
      </c>
      <c r="C80" s="54">
        <v>0</v>
      </c>
      <c r="D80" s="61">
        <f>(D$25+D$54+D$62)*C80</f>
        <v>0</v>
      </c>
    </row>
    <row r="81" spans="1:4" s="30" customFormat="1" ht="15.75" customHeight="1" x14ac:dyDescent="0.25">
      <c r="A81" s="369" t="s">
        <v>27</v>
      </c>
      <c r="B81" s="370"/>
      <c r="C81" s="91">
        <f>SUM(C79:C80)</f>
        <v>2.9100000000000001E-2</v>
      </c>
      <c r="D81" s="62">
        <f>SUM(D79:D80)</f>
        <v>215.46</v>
      </c>
    </row>
    <row r="82" spans="1:4" s="30" customFormat="1" ht="15.75" customHeight="1" x14ac:dyDescent="0.25">
      <c r="A82" s="349" t="s">
        <v>155</v>
      </c>
      <c r="B82" s="350"/>
      <c r="C82" s="350"/>
      <c r="D82" s="60">
        <f>SUM(D75+D81)</f>
        <v>215.46</v>
      </c>
    </row>
    <row r="83" spans="1:4" s="30" customFormat="1" ht="15.75" customHeight="1" x14ac:dyDescent="0.25">
      <c r="A83" s="353" t="s">
        <v>164</v>
      </c>
      <c r="B83" s="354"/>
      <c r="C83" s="354"/>
      <c r="D83" s="429"/>
    </row>
    <row r="84" spans="1:4" s="30" customFormat="1" ht="15.75" customHeight="1" x14ac:dyDescent="0.25">
      <c r="A84" s="181">
        <v>5</v>
      </c>
      <c r="B84" s="345" t="s">
        <v>24</v>
      </c>
      <c r="C84" s="346"/>
      <c r="D84" s="129" t="s">
        <v>10</v>
      </c>
    </row>
    <row r="85" spans="1:4" s="30" customFormat="1" ht="15.75" customHeight="1" x14ac:dyDescent="0.25">
      <c r="A85" s="47" t="s">
        <v>0</v>
      </c>
      <c r="B85" s="344" t="s">
        <v>222</v>
      </c>
      <c r="C85" s="344"/>
      <c r="D85" s="61">
        <f>Uniformes!H7</f>
        <v>36.619999999999997</v>
      </c>
    </row>
    <row r="86" spans="1:4" s="30" customFormat="1" ht="15.75" customHeight="1" x14ac:dyDescent="0.25">
      <c r="A86" s="47" t="s">
        <v>2</v>
      </c>
      <c r="B86" s="344" t="s">
        <v>223</v>
      </c>
      <c r="C86" s="344"/>
      <c r="D86" s="61">
        <f>Materiais!H18</f>
        <v>64.819999999999993</v>
      </c>
    </row>
    <row r="87" spans="1:4" s="30" customFormat="1" ht="15.75" customHeight="1" x14ac:dyDescent="0.25">
      <c r="A87" s="47" t="s">
        <v>3</v>
      </c>
      <c r="B87" s="344" t="s">
        <v>187</v>
      </c>
      <c r="C87" s="344"/>
      <c r="D87" s="61">
        <f>Equipamentos!H18</f>
        <v>1312.5</v>
      </c>
    </row>
    <row r="88" spans="1:4" s="30" customFormat="1" ht="15.75" customHeight="1" x14ac:dyDescent="0.25">
      <c r="A88" s="47" t="s">
        <v>5</v>
      </c>
      <c r="B88" s="344" t="s">
        <v>137</v>
      </c>
      <c r="C88" s="344"/>
      <c r="D88" s="61">
        <v>0</v>
      </c>
    </row>
    <row r="89" spans="1:4" s="30" customFormat="1" ht="15.75" customHeight="1" x14ac:dyDescent="0.25">
      <c r="A89" s="349" t="s">
        <v>156</v>
      </c>
      <c r="B89" s="350"/>
      <c r="C89" s="350"/>
      <c r="D89" s="60">
        <f>SUM(D85:D88)</f>
        <v>1413.94</v>
      </c>
    </row>
    <row r="90" spans="1:4" s="30" customFormat="1" ht="30" customHeight="1" x14ac:dyDescent="0.25">
      <c r="A90" s="347" t="s">
        <v>225</v>
      </c>
      <c r="B90" s="348"/>
      <c r="C90" s="348"/>
      <c r="D90" s="148">
        <f>D89+D82+D62+D54+D25</f>
        <v>8997.0300000000007</v>
      </c>
    </row>
    <row r="91" spans="1:4" s="30" customFormat="1" ht="19.5" customHeight="1" x14ac:dyDescent="0.25">
      <c r="A91" s="353" t="s">
        <v>165</v>
      </c>
      <c r="B91" s="354"/>
      <c r="C91" s="354"/>
      <c r="D91" s="429"/>
    </row>
    <row r="92" spans="1:4" s="30" customFormat="1" x14ac:dyDescent="0.25">
      <c r="A92" s="181">
        <v>6</v>
      </c>
      <c r="B92" s="345" t="s">
        <v>38</v>
      </c>
      <c r="C92" s="363"/>
      <c r="D92" s="129" t="s">
        <v>10</v>
      </c>
    </row>
    <row r="93" spans="1:4" s="30" customFormat="1" x14ac:dyDescent="0.25">
      <c r="A93" s="181" t="s">
        <v>0</v>
      </c>
      <c r="B93" s="182" t="s">
        <v>39</v>
      </c>
      <c r="C93" s="54">
        <v>0.03</v>
      </c>
      <c r="D93" s="61">
        <f>+D90*C93</f>
        <v>269.91000000000003</v>
      </c>
    </row>
    <row r="94" spans="1:4" s="30" customFormat="1" x14ac:dyDescent="0.25">
      <c r="A94" s="181" t="s">
        <v>2</v>
      </c>
      <c r="B94" s="182" t="s">
        <v>40</v>
      </c>
      <c r="C94" s="54">
        <v>6.7900000000000002E-2</v>
      </c>
      <c r="D94" s="61">
        <f>C94*(+D90+D93)</f>
        <v>629.23</v>
      </c>
    </row>
    <row r="95" spans="1:4" s="30" customFormat="1" ht="31.5" x14ac:dyDescent="0.25">
      <c r="A95" s="375" t="s">
        <v>3</v>
      </c>
      <c r="B95" s="182" t="s">
        <v>50</v>
      </c>
      <c r="C95" s="54">
        <f>1-C103</f>
        <v>0.85750000000000004</v>
      </c>
      <c r="D95" s="61">
        <f>+D90+D93+D94</f>
        <v>9896.17</v>
      </c>
    </row>
    <row r="96" spans="1:4" s="30" customFormat="1" x14ac:dyDescent="0.25">
      <c r="A96" s="375"/>
      <c r="B96" s="182" t="s">
        <v>41</v>
      </c>
      <c r="C96" s="88"/>
      <c r="D96" s="149">
        <f>+D95/C95</f>
        <v>11540.72</v>
      </c>
    </row>
    <row r="97" spans="1:4" s="30" customFormat="1" x14ac:dyDescent="0.25">
      <c r="A97" s="375"/>
      <c r="B97" s="182" t="s">
        <v>42</v>
      </c>
      <c r="C97" s="67"/>
      <c r="D97" s="61"/>
    </row>
    <row r="98" spans="1:4" s="30" customFormat="1" x14ac:dyDescent="0.25">
      <c r="A98" s="375"/>
      <c r="B98" s="182" t="s">
        <v>130</v>
      </c>
      <c r="C98" s="54">
        <v>1.6500000000000001E-2</v>
      </c>
      <c r="D98" s="61">
        <f>+D96*C98</f>
        <v>190.42</v>
      </c>
    </row>
    <row r="99" spans="1:4" s="30" customFormat="1" x14ac:dyDescent="0.25">
      <c r="A99" s="375"/>
      <c r="B99" s="182" t="s">
        <v>131</v>
      </c>
      <c r="C99" s="54">
        <v>7.5999999999999998E-2</v>
      </c>
      <c r="D99" s="61">
        <f>+D96*C99</f>
        <v>877.09</v>
      </c>
    </row>
    <row r="100" spans="1:4" s="30" customFormat="1" x14ac:dyDescent="0.25">
      <c r="A100" s="375"/>
      <c r="B100" s="221" t="s">
        <v>43</v>
      </c>
      <c r="C100" s="88"/>
      <c r="D100" s="61"/>
    </row>
    <row r="101" spans="1:4" s="30" customFormat="1" x14ac:dyDescent="0.25">
      <c r="A101" s="375"/>
      <c r="B101" s="221" t="s">
        <v>44</v>
      </c>
      <c r="C101" s="94"/>
      <c r="D101" s="61"/>
    </row>
    <row r="102" spans="1:4" s="30" customFormat="1" x14ac:dyDescent="0.25">
      <c r="A102" s="375"/>
      <c r="B102" s="182" t="s">
        <v>142</v>
      </c>
      <c r="C102" s="54">
        <v>0.05</v>
      </c>
      <c r="D102" s="61">
        <f>+D96*C102</f>
        <v>577.04</v>
      </c>
    </row>
    <row r="103" spans="1:4" s="30" customFormat="1" x14ac:dyDescent="0.25">
      <c r="A103" s="181"/>
      <c r="B103" s="107" t="s">
        <v>45</v>
      </c>
      <c r="C103" s="99">
        <f>SUM(C98:C102)</f>
        <v>0.14249999999999999</v>
      </c>
      <c r="D103" s="61">
        <f>SUM(D98:D102)</f>
        <v>1644.55</v>
      </c>
    </row>
    <row r="104" spans="1:4" s="30" customFormat="1" ht="15.75" customHeight="1" x14ac:dyDescent="0.25">
      <c r="A104" s="369" t="s">
        <v>46</v>
      </c>
      <c r="B104" s="370"/>
      <c r="C104" s="370"/>
      <c r="D104" s="62">
        <f>+D93+D94+D103</f>
        <v>2543.69</v>
      </c>
    </row>
    <row r="105" spans="1:4" s="30" customFormat="1" ht="15.75" customHeight="1" x14ac:dyDescent="0.25">
      <c r="A105" s="420" t="s">
        <v>47</v>
      </c>
      <c r="B105" s="421"/>
      <c r="C105" s="421"/>
      <c r="D105" s="150" t="s">
        <v>10</v>
      </c>
    </row>
    <row r="106" spans="1:4" s="30" customFormat="1" x14ac:dyDescent="0.25">
      <c r="A106" s="49" t="s">
        <v>0</v>
      </c>
      <c r="B106" s="378" t="s">
        <v>48</v>
      </c>
      <c r="C106" s="378"/>
      <c r="D106" s="61">
        <f>+D25</f>
        <v>4320.08</v>
      </c>
    </row>
    <row r="107" spans="1:4" s="30" customFormat="1" x14ac:dyDescent="0.25">
      <c r="A107" s="49" t="s">
        <v>2</v>
      </c>
      <c r="B107" s="378" t="s">
        <v>159</v>
      </c>
      <c r="C107" s="378"/>
      <c r="D107" s="61">
        <f>+D54</f>
        <v>2738.67</v>
      </c>
    </row>
    <row r="108" spans="1:4" s="30" customFormat="1" x14ac:dyDescent="0.25">
      <c r="A108" s="49" t="s">
        <v>3</v>
      </c>
      <c r="B108" s="378" t="s">
        <v>157</v>
      </c>
      <c r="C108" s="378"/>
      <c r="D108" s="61">
        <f>D62</f>
        <v>308.88</v>
      </c>
    </row>
    <row r="109" spans="1:4" s="30" customFormat="1" x14ac:dyDescent="0.25">
      <c r="A109" s="49" t="s">
        <v>5</v>
      </c>
      <c r="B109" s="378" t="s">
        <v>150</v>
      </c>
      <c r="C109" s="378"/>
      <c r="D109" s="61">
        <f>D82</f>
        <v>215.46</v>
      </c>
    </row>
    <row r="110" spans="1:4" s="30" customFormat="1" x14ac:dyDescent="0.25">
      <c r="A110" s="49" t="s">
        <v>20</v>
      </c>
      <c r="B110" s="378" t="s">
        <v>158</v>
      </c>
      <c r="C110" s="378"/>
      <c r="D110" s="61">
        <f>D89</f>
        <v>1413.94</v>
      </c>
    </row>
    <row r="111" spans="1:4" s="30" customFormat="1" ht="15.75" customHeight="1" x14ac:dyDescent="0.25">
      <c r="A111" s="375" t="s">
        <v>160</v>
      </c>
      <c r="B111" s="372"/>
      <c r="C111" s="372"/>
      <c r="D111" s="145">
        <f>SUM(D106:D110)</f>
        <v>8997.0300000000007</v>
      </c>
    </row>
    <row r="112" spans="1:4" s="30" customFormat="1" x14ac:dyDescent="0.25">
      <c r="A112" s="181" t="s">
        <v>20</v>
      </c>
      <c r="B112" s="378" t="s">
        <v>161</v>
      </c>
      <c r="C112" s="378"/>
      <c r="D112" s="61">
        <f>+D104</f>
        <v>2543.69</v>
      </c>
    </row>
    <row r="113" spans="1:4" s="30" customFormat="1" ht="16.5" customHeight="1" thickBot="1" x14ac:dyDescent="0.3">
      <c r="A113" s="361" t="s">
        <v>49</v>
      </c>
      <c r="B113" s="362"/>
      <c r="C113" s="362"/>
      <c r="D113" s="151">
        <f>+D111+D112</f>
        <v>11540.72</v>
      </c>
    </row>
    <row r="114" spans="1:4" x14ac:dyDescent="0.25">
      <c r="C114" s="31"/>
      <c r="D114" s="33"/>
    </row>
    <row r="115" spans="1:4" x14ac:dyDescent="0.25">
      <c r="B115" s="28"/>
      <c r="C115" s="31"/>
      <c r="D115" s="34"/>
    </row>
    <row r="116" spans="1:4" x14ac:dyDescent="0.25">
      <c r="B116" s="28"/>
      <c r="C116" s="31"/>
      <c r="D116" s="34" t="s">
        <v>129</v>
      </c>
    </row>
    <row r="117" spans="1:4" x14ac:dyDescent="0.25">
      <c r="B117" s="28"/>
      <c r="C117" s="374"/>
      <c r="D117" s="374"/>
    </row>
    <row r="118" spans="1:4" x14ac:dyDescent="0.25">
      <c r="B118" s="28"/>
      <c r="C118" s="31"/>
      <c r="D118" s="35"/>
    </row>
    <row r="120" spans="1:4" x14ac:dyDescent="0.25">
      <c r="B120" s="36"/>
    </row>
    <row r="125" spans="1:4" x14ac:dyDescent="0.25">
      <c r="B125" s="28"/>
    </row>
  </sheetData>
  <mergeCells count="63">
    <mergeCell ref="B112:C112"/>
    <mergeCell ref="A113:C113"/>
    <mergeCell ref="C117:D117"/>
    <mergeCell ref="B106:C106"/>
    <mergeCell ref="B107:C107"/>
    <mergeCell ref="B108:C108"/>
    <mergeCell ref="B109:C109"/>
    <mergeCell ref="B110:C110"/>
    <mergeCell ref="A111:C111"/>
    <mergeCell ref="A105:C105"/>
    <mergeCell ref="B84:C84"/>
    <mergeCell ref="B85:C85"/>
    <mergeCell ref="B86:C86"/>
    <mergeCell ref="B87:C87"/>
    <mergeCell ref="B88:C88"/>
    <mergeCell ref="A89:C89"/>
    <mergeCell ref="A90:C90"/>
    <mergeCell ref="A91:D91"/>
    <mergeCell ref="B92:C92"/>
    <mergeCell ref="A95:A102"/>
    <mergeCell ref="A104:C104"/>
    <mergeCell ref="A83:D83"/>
    <mergeCell ref="A62:C62"/>
    <mergeCell ref="A63:D63"/>
    <mergeCell ref="B64:C64"/>
    <mergeCell ref="A71:B71"/>
    <mergeCell ref="B73:C73"/>
    <mergeCell ref="A75:B75"/>
    <mergeCell ref="A76:D76"/>
    <mergeCell ref="A77:D77"/>
    <mergeCell ref="B78:C78"/>
    <mergeCell ref="A81:B81"/>
    <mergeCell ref="A82:C82"/>
    <mergeCell ref="B56:C56"/>
    <mergeCell ref="A26:D26"/>
    <mergeCell ref="B27:C27"/>
    <mergeCell ref="A30:B30"/>
    <mergeCell ref="A31:D31"/>
    <mergeCell ref="B32:C32"/>
    <mergeCell ref="A41:B41"/>
    <mergeCell ref="A42:D42"/>
    <mergeCell ref="A49:C49"/>
    <mergeCell ref="A50:D50"/>
    <mergeCell ref="A54:C54"/>
    <mergeCell ref="A55:D55"/>
    <mergeCell ref="A25:C25"/>
    <mergeCell ref="C7:D7"/>
    <mergeCell ref="A8:D8"/>
    <mergeCell ref="A9:D9"/>
    <mergeCell ref="A10:D10"/>
    <mergeCell ref="A11:C11"/>
    <mergeCell ref="C12:D12"/>
    <mergeCell ref="C13:D13"/>
    <mergeCell ref="C14:D14"/>
    <mergeCell ref="C15:D15"/>
    <mergeCell ref="A16:C16"/>
    <mergeCell ref="B17:C17"/>
    <mergeCell ref="C6:D6"/>
    <mergeCell ref="A1:D1"/>
    <mergeCell ref="A2:D2"/>
    <mergeCell ref="A3:D3"/>
    <mergeCell ref="C4:D4"/>
    <mergeCell ref="C5:D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5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5" zoomScaleNormal="115" zoomScaleSheetLayoutView="100" workbookViewId="0">
      <selection activeCell="A32" sqref="A32:A37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85"/>
      <c r="B1" s="386"/>
      <c r="C1" s="386"/>
      <c r="D1" s="386"/>
      <c r="E1" s="387"/>
    </row>
    <row r="2" spans="1:5" s="38" customFormat="1" ht="16.5" customHeight="1" x14ac:dyDescent="0.25">
      <c r="A2" s="358" t="s">
        <v>132</v>
      </c>
      <c r="B2" s="359"/>
      <c r="C2" s="359"/>
      <c r="D2" s="359"/>
      <c r="E2" s="360"/>
    </row>
    <row r="3" spans="1:5" s="38" customFormat="1" x14ac:dyDescent="0.25">
      <c r="A3" s="355" t="s">
        <v>129</v>
      </c>
      <c r="B3" s="356"/>
      <c r="C3" s="356"/>
      <c r="D3" s="356"/>
      <c r="E3" s="357"/>
    </row>
    <row r="4" spans="1:5" s="38" customFormat="1" ht="15" customHeight="1" x14ac:dyDescent="0.25">
      <c r="A4" s="40" t="s">
        <v>0</v>
      </c>
      <c r="B4" s="174" t="s">
        <v>1</v>
      </c>
      <c r="C4" s="392">
        <v>2024</v>
      </c>
      <c r="D4" s="392"/>
      <c r="E4" s="393"/>
    </row>
    <row r="5" spans="1:5" s="38" customFormat="1" ht="75" customHeight="1" x14ac:dyDescent="0.25">
      <c r="A5" s="40" t="s">
        <v>2</v>
      </c>
      <c r="B5" s="174" t="s">
        <v>140</v>
      </c>
      <c r="C5" s="394" t="s">
        <v>268</v>
      </c>
      <c r="D5" s="394"/>
      <c r="E5" s="395"/>
    </row>
    <row r="6" spans="1:5" s="38" customFormat="1" ht="15.75" customHeight="1" x14ac:dyDescent="0.25">
      <c r="A6" s="40" t="s">
        <v>3</v>
      </c>
      <c r="B6" s="174" t="s">
        <v>4</v>
      </c>
      <c r="C6" s="394" t="s">
        <v>274</v>
      </c>
      <c r="D6" s="394"/>
      <c r="E6" s="395"/>
    </row>
    <row r="7" spans="1:5" s="38" customFormat="1" x14ac:dyDescent="0.25">
      <c r="A7" s="40" t="s">
        <v>5</v>
      </c>
      <c r="B7" s="174" t="s">
        <v>143</v>
      </c>
      <c r="C7" s="394">
        <v>12</v>
      </c>
      <c r="D7" s="394"/>
      <c r="E7" s="395"/>
    </row>
    <row r="8" spans="1:5" s="38" customFormat="1" x14ac:dyDescent="0.25">
      <c r="A8" s="355" t="s">
        <v>6</v>
      </c>
      <c r="B8" s="356"/>
      <c r="C8" s="356"/>
      <c r="D8" s="356"/>
      <c r="E8" s="357"/>
    </row>
    <row r="9" spans="1:5" s="38" customFormat="1" x14ac:dyDescent="0.25">
      <c r="A9" s="355" t="s">
        <v>7</v>
      </c>
      <c r="B9" s="356"/>
      <c r="C9" s="356"/>
      <c r="D9" s="356"/>
      <c r="E9" s="357"/>
    </row>
    <row r="10" spans="1:5" s="38" customFormat="1" ht="15.75" customHeight="1" x14ac:dyDescent="0.25">
      <c r="A10" s="355" t="s">
        <v>8</v>
      </c>
      <c r="B10" s="356"/>
      <c r="C10" s="356"/>
      <c r="D10" s="356"/>
      <c r="E10" s="357"/>
    </row>
    <row r="11" spans="1:5" s="38" customFormat="1" ht="30" customHeight="1" x14ac:dyDescent="0.25">
      <c r="A11" s="396" t="s">
        <v>9</v>
      </c>
      <c r="B11" s="397"/>
      <c r="C11" s="397"/>
      <c r="D11" s="424" t="s">
        <v>10</v>
      </c>
      <c r="E11" s="425"/>
    </row>
    <row r="12" spans="1:5" s="38" customFormat="1" ht="60" customHeight="1" x14ac:dyDescent="0.25">
      <c r="A12" s="40">
        <v>1</v>
      </c>
      <c r="B12" s="224" t="s">
        <v>133</v>
      </c>
      <c r="C12" s="388" t="s">
        <v>269</v>
      </c>
      <c r="D12" s="388"/>
      <c r="E12" s="389"/>
    </row>
    <row r="13" spans="1:5" s="38" customFormat="1" ht="30" customHeight="1" x14ac:dyDescent="0.25">
      <c r="A13" s="40">
        <v>2</v>
      </c>
      <c r="B13" s="224" t="s">
        <v>11</v>
      </c>
      <c r="C13" s="422">
        <v>4750</v>
      </c>
      <c r="D13" s="422"/>
      <c r="E13" s="423"/>
    </row>
    <row r="14" spans="1:5" s="38" customFormat="1" ht="15.75" customHeight="1" x14ac:dyDescent="0.25">
      <c r="A14" s="40">
        <v>3</v>
      </c>
      <c r="B14" s="224" t="s">
        <v>12</v>
      </c>
      <c r="C14" s="388" t="s">
        <v>232</v>
      </c>
      <c r="D14" s="388"/>
      <c r="E14" s="389"/>
    </row>
    <row r="15" spans="1:5" s="38" customFormat="1" x14ac:dyDescent="0.25">
      <c r="A15" s="40">
        <v>4</v>
      </c>
      <c r="B15" s="223" t="s">
        <v>13</v>
      </c>
      <c r="C15" s="390"/>
      <c r="D15" s="390"/>
      <c r="E15" s="391"/>
    </row>
    <row r="16" spans="1:5" s="39" customFormat="1" ht="31.5" x14ac:dyDescent="0.25">
      <c r="A16" s="353" t="s">
        <v>14</v>
      </c>
      <c r="B16" s="354"/>
      <c r="C16" s="354"/>
      <c r="D16" s="125" t="s">
        <v>264</v>
      </c>
      <c r="E16" s="134" t="s">
        <v>267</v>
      </c>
    </row>
    <row r="17" spans="1:5" s="39" customFormat="1" x14ac:dyDescent="0.25">
      <c r="A17" s="175">
        <v>1</v>
      </c>
      <c r="B17" s="371" t="s">
        <v>15</v>
      </c>
      <c r="C17" s="371"/>
      <c r="D17" s="56" t="s">
        <v>10</v>
      </c>
      <c r="E17" s="57" t="s">
        <v>10</v>
      </c>
    </row>
    <row r="18" spans="1:5" s="38" customFormat="1" ht="15.75" customHeight="1" x14ac:dyDescent="0.25">
      <c r="A18" s="44" t="s">
        <v>0</v>
      </c>
      <c r="B18" s="223" t="s">
        <v>16</v>
      </c>
      <c r="C18" s="211"/>
      <c r="D18" s="74">
        <f>C13</f>
        <v>4750</v>
      </c>
      <c r="E18" s="58">
        <f>C13</f>
        <v>4750</v>
      </c>
    </row>
    <row r="19" spans="1:5" s="38" customFormat="1" ht="15.75" customHeight="1" x14ac:dyDescent="0.25">
      <c r="A19" s="44" t="s">
        <v>2</v>
      </c>
      <c r="B19" s="223" t="s">
        <v>17</v>
      </c>
      <c r="C19" s="212"/>
      <c r="D19" s="76"/>
      <c r="E19" s="59"/>
    </row>
    <row r="20" spans="1:5" s="38" customFormat="1" ht="15.75" customHeight="1" x14ac:dyDescent="0.25">
      <c r="A20" s="44" t="s">
        <v>3</v>
      </c>
      <c r="B20" s="223" t="s">
        <v>18</v>
      </c>
      <c r="C20" s="108" t="s">
        <v>242</v>
      </c>
      <c r="D20" s="76">
        <f>40%*1412</f>
        <v>564.79999999999995</v>
      </c>
      <c r="E20" s="59">
        <f>40%*1412</f>
        <v>564.79999999999995</v>
      </c>
    </row>
    <row r="21" spans="1:5" s="38" customFormat="1" ht="15.75" customHeight="1" x14ac:dyDescent="0.25">
      <c r="A21" s="44" t="s">
        <v>5</v>
      </c>
      <c r="B21" s="223" t="s">
        <v>19</v>
      </c>
      <c r="C21" s="212"/>
      <c r="D21" s="76"/>
      <c r="E21" s="59"/>
    </row>
    <row r="22" spans="1:5" s="38" customFormat="1" ht="15.75" customHeight="1" x14ac:dyDescent="0.25">
      <c r="A22" s="44" t="s">
        <v>20</v>
      </c>
      <c r="B22" s="223" t="s">
        <v>204</v>
      </c>
      <c r="C22" s="212"/>
      <c r="D22" s="76"/>
      <c r="E22" s="59"/>
    </row>
    <row r="23" spans="1:5" s="38" customFormat="1" x14ac:dyDescent="0.25">
      <c r="A23" s="44" t="s">
        <v>21</v>
      </c>
      <c r="B23" s="223" t="s">
        <v>138</v>
      </c>
      <c r="C23" s="108"/>
      <c r="D23" s="76"/>
      <c r="E23" s="59"/>
    </row>
    <row r="24" spans="1:5" s="38" customFormat="1" ht="15.75" customHeight="1" x14ac:dyDescent="0.25">
      <c r="A24" s="44" t="s">
        <v>22</v>
      </c>
      <c r="B24" s="183" t="s">
        <v>139</v>
      </c>
      <c r="C24" s="108"/>
      <c r="D24" s="76"/>
      <c r="E24" s="59"/>
    </row>
    <row r="25" spans="1:5" s="39" customFormat="1" ht="15.75" customHeight="1" x14ac:dyDescent="0.25">
      <c r="A25" s="349" t="s">
        <v>152</v>
      </c>
      <c r="B25" s="350"/>
      <c r="C25" s="350"/>
      <c r="D25" s="65">
        <f>SUM(D18:D24)</f>
        <v>5314.8</v>
      </c>
      <c r="E25" s="60">
        <f>SUM(E18:E24)</f>
        <v>5314.8</v>
      </c>
    </row>
    <row r="26" spans="1:5" s="39" customFormat="1" x14ac:dyDescent="0.25">
      <c r="A26" s="351" t="s">
        <v>51</v>
      </c>
      <c r="B26" s="352"/>
      <c r="C26" s="352"/>
      <c r="D26" s="177"/>
      <c r="E26" s="220"/>
    </row>
    <row r="27" spans="1:5" s="38" customFormat="1" x14ac:dyDescent="0.25">
      <c r="A27" s="181">
        <v>2</v>
      </c>
      <c r="B27" s="372" t="s">
        <v>205</v>
      </c>
      <c r="C27" s="373"/>
      <c r="D27" s="68" t="s">
        <v>10</v>
      </c>
      <c r="E27" s="129" t="s">
        <v>10</v>
      </c>
    </row>
    <row r="28" spans="1:5" s="38" customFormat="1" x14ac:dyDescent="0.25">
      <c r="A28" s="49" t="s">
        <v>0</v>
      </c>
      <c r="B28" s="182" t="s">
        <v>28</v>
      </c>
      <c r="C28" s="54">
        <f>1/12</f>
        <v>8.3299999999999999E-2</v>
      </c>
      <c r="D28" s="77">
        <f>(D25)*C28</f>
        <v>442.72</v>
      </c>
      <c r="E28" s="61">
        <f>(E25)*C28</f>
        <v>442.72</v>
      </c>
    </row>
    <row r="29" spans="1:5" s="38" customFormat="1" x14ac:dyDescent="0.25">
      <c r="A29" s="49" t="s">
        <v>2</v>
      </c>
      <c r="B29" s="182" t="s">
        <v>148</v>
      </c>
      <c r="C29" s="54">
        <v>0.1111</v>
      </c>
      <c r="D29" s="77">
        <f>(D25)*C29</f>
        <v>590.47</v>
      </c>
      <c r="E29" s="61">
        <f>(E25)*C29</f>
        <v>590.47</v>
      </c>
    </row>
    <row r="30" spans="1:5" x14ac:dyDescent="0.25">
      <c r="A30" s="369" t="s">
        <v>27</v>
      </c>
      <c r="B30" s="370"/>
      <c r="C30" s="91">
        <f>SUM(C28:C29)</f>
        <v>0.19439999999999999</v>
      </c>
      <c r="D30" s="79">
        <f>SUM(D28:D29)</f>
        <v>1033.19</v>
      </c>
      <c r="E30" s="62">
        <f>SUM(E28:E29)</f>
        <v>1033.19</v>
      </c>
    </row>
    <row r="31" spans="1:5" ht="32.25" customHeight="1" x14ac:dyDescent="0.25">
      <c r="A31" s="430" t="s">
        <v>206</v>
      </c>
      <c r="B31" s="431"/>
      <c r="C31" s="431"/>
      <c r="D31" s="431"/>
      <c r="E31" s="432"/>
    </row>
    <row r="32" spans="1:5" x14ac:dyDescent="0.25">
      <c r="A32" s="179" t="s">
        <v>215</v>
      </c>
      <c r="B32" s="348" t="s">
        <v>25</v>
      </c>
      <c r="C32" s="411"/>
      <c r="D32" s="69" t="s">
        <v>10</v>
      </c>
      <c r="E32" s="127" t="s">
        <v>10</v>
      </c>
    </row>
    <row r="33" spans="1:5" x14ac:dyDescent="0.25">
      <c r="A33" s="49" t="s">
        <v>0</v>
      </c>
      <c r="B33" s="80" t="s">
        <v>207</v>
      </c>
      <c r="C33" s="54">
        <v>0.2</v>
      </c>
      <c r="D33" s="77">
        <f>(D25+D30)*C33</f>
        <v>1269.5999999999999</v>
      </c>
      <c r="E33" s="61">
        <f>(E25+E30)*C33</f>
        <v>1269.5999999999999</v>
      </c>
    </row>
    <row r="34" spans="1:5" x14ac:dyDescent="0.25">
      <c r="A34" s="49" t="s">
        <v>2</v>
      </c>
      <c r="B34" s="80" t="s">
        <v>208</v>
      </c>
      <c r="C34" s="81">
        <v>1.4999999999999999E-2</v>
      </c>
      <c r="D34" s="77">
        <f>(D25+D30)*C34</f>
        <v>95.22</v>
      </c>
      <c r="E34" s="61">
        <f>(E25+E30)*C34</f>
        <v>95.22</v>
      </c>
    </row>
    <row r="35" spans="1:5" x14ac:dyDescent="0.25">
      <c r="A35" s="49" t="s">
        <v>3</v>
      </c>
      <c r="B35" s="80" t="s">
        <v>209</v>
      </c>
      <c r="C35" s="81">
        <v>0.01</v>
      </c>
      <c r="D35" s="77">
        <f>(D25+D30)*C35</f>
        <v>63.48</v>
      </c>
      <c r="E35" s="61">
        <f>(E25+E30)*C35</f>
        <v>63.48</v>
      </c>
    </row>
    <row r="36" spans="1:5" ht="31.5" x14ac:dyDescent="0.25">
      <c r="A36" s="49" t="s">
        <v>5</v>
      </c>
      <c r="B36" s="180" t="s">
        <v>210</v>
      </c>
      <c r="C36" s="81">
        <v>2E-3</v>
      </c>
      <c r="D36" s="77">
        <f>(D25+D30)*C36</f>
        <v>12.7</v>
      </c>
      <c r="E36" s="61">
        <f>(E25+E30)*C36</f>
        <v>12.7</v>
      </c>
    </row>
    <row r="37" spans="1:5" x14ac:dyDescent="0.25">
      <c r="A37" s="49" t="s">
        <v>20</v>
      </c>
      <c r="B37" s="80" t="s">
        <v>211</v>
      </c>
      <c r="C37" s="81">
        <v>2.5000000000000001E-2</v>
      </c>
      <c r="D37" s="77">
        <f>(D25+D30)*C37</f>
        <v>158.69999999999999</v>
      </c>
      <c r="E37" s="61">
        <f>(E25+E30)*C37</f>
        <v>158.69999999999999</v>
      </c>
    </row>
    <row r="38" spans="1:5" x14ac:dyDescent="0.25">
      <c r="A38" s="49" t="s">
        <v>21</v>
      </c>
      <c r="B38" s="107" t="s">
        <v>212</v>
      </c>
      <c r="C38" s="81">
        <v>0.08</v>
      </c>
      <c r="D38" s="77">
        <f>(D25+D30)*C38</f>
        <v>507.84</v>
      </c>
      <c r="E38" s="61">
        <f>(E25+E30)*C38</f>
        <v>507.84</v>
      </c>
    </row>
    <row r="39" spans="1:5" ht="30.75" customHeight="1" x14ac:dyDescent="0.25">
      <c r="A39" s="49" t="s">
        <v>22</v>
      </c>
      <c r="B39" s="180" t="s">
        <v>213</v>
      </c>
      <c r="C39" s="81">
        <v>0.03</v>
      </c>
      <c r="D39" s="77">
        <f>(D25+D30)*C39</f>
        <v>190.44</v>
      </c>
      <c r="E39" s="61">
        <f>(E25+E30)*C39</f>
        <v>190.44</v>
      </c>
    </row>
    <row r="40" spans="1:5" x14ac:dyDescent="0.25">
      <c r="A40" s="49" t="s">
        <v>26</v>
      </c>
      <c r="B40" s="106" t="s">
        <v>214</v>
      </c>
      <c r="C40" s="81">
        <v>6.0000000000000001E-3</v>
      </c>
      <c r="D40" s="77">
        <f>(D25+D30)*C40</f>
        <v>38.090000000000003</v>
      </c>
      <c r="E40" s="61">
        <f>(E25+E30)*C40</f>
        <v>38.090000000000003</v>
      </c>
    </row>
    <row r="41" spans="1:5" s="30" customFormat="1" x14ac:dyDescent="0.25">
      <c r="A41" s="369" t="s">
        <v>27</v>
      </c>
      <c r="B41" s="370"/>
      <c r="C41" s="55">
        <f>SUM(C33:C40)</f>
        <v>0.36799999999999999</v>
      </c>
      <c r="D41" s="79">
        <f>SUM(D33:D40)</f>
        <v>2336.0700000000002</v>
      </c>
      <c r="E41" s="62">
        <f>SUM(E33:E40)</f>
        <v>2336.0700000000002</v>
      </c>
    </row>
    <row r="42" spans="1:5" s="30" customFormat="1" x14ac:dyDescent="0.25">
      <c r="A42" s="219" t="s">
        <v>216</v>
      </c>
      <c r="B42" s="412" t="s">
        <v>217</v>
      </c>
      <c r="C42" s="413"/>
      <c r="D42" s="104" t="s">
        <v>10</v>
      </c>
      <c r="E42" s="140" t="s">
        <v>10</v>
      </c>
    </row>
    <row r="43" spans="1:5" s="30" customFormat="1" x14ac:dyDescent="0.25">
      <c r="A43" s="90" t="s">
        <v>0</v>
      </c>
      <c r="B43" s="222" t="s">
        <v>144</v>
      </c>
      <c r="C43" s="105"/>
      <c r="D43" s="76">
        <v>0</v>
      </c>
      <c r="E43" s="59">
        <v>0</v>
      </c>
    </row>
    <row r="44" spans="1:5" s="30" customFormat="1" x14ac:dyDescent="0.25">
      <c r="A44" s="47" t="s">
        <v>2</v>
      </c>
      <c r="B44" s="183" t="s">
        <v>218</v>
      </c>
      <c r="C44" s="72"/>
      <c r="D44" s="74">
        <v>0</v>
      </c>
      <c r="E44" s="58">
        <v>0</v>
      </c>
    </row>
    <row r="45" spans="1:5" s="30" customFormat="1" x14ac:dyDescent="0.25">
      <c r="A45" s="49" t="s">
        <v>5</v>
      </c>
      <c r="B45" s="182" t="s">
        <v>134</v>
      </c>
      <c r="C45" s="83"/>
      <c r="D45" s="84">
        <v>0</v>
      </c>
      <c r="E45" s="63">
        <v>0</v>
      </c>
    </row>
    <row r="46" spans="1:5" s="30" customFormat="1" x14ac:dyDescent="0.25">
      <c r="A46" s="49" t="s">
        <v>20</v>
      </c>
      <c r="B46" s="182" t="s">
        <v>135</v>
      </c>
      <c r="C46" s="54"/>
      <c r="D46" s="84">
        <v>0</v>
      </c>
      <c r="E46" s="63">
        <v>0</v>
      </c>
    </row>
    <row r="47" spans="1:5" s="30" customFormat="1" x14ac:dyDescent="0.25">
      <c r="A47" s="49" t="s">
        <v>21</v>
      </c>
      <c r="B47" s="182" t="s">
        <v>136</v>
      </c>
      <c r="C47" s="83"/>
      <c r="D47" s="77">
        <v>0</v>
      </c>
      <c r="E47" s="61">
        <v>0</v>
      </c>
    </row>
    <row r="48" spans="1:5" s="30" customFormat="1" ht="15.75" customHeight="1" x14ac:dyDescent="0.25">
      <c r="A48" s="369" t="s">
        <v>23</v>
      </c>
      <c r="B48" s="370"/>
      <c r="C48" s="370"/>
      <c r="D48" s="79">
        <f>SUM(D43:D47)</f>
        <v>0</v>
      </c>
      <c r="E48" s="62">
        <f>SUM(E43:E47)</f>
        <v>0</v>
      </c>
    </row>
    <row r="49" spans="1:5" s="30" customFormat="1" ht="15.75" customHeight="1" x14ac:dyDescent="0.25">
      <c r="A49" s="351" t="s">
        <v>151</v>
      </c>
      <c r="B49" s="352"/>
      <c r="C49" s="352"/>
      <c r="D49" s="352"/>
      <c r="E49" s="433"/>
    </row>
    <row r="50" spans="1:5" s="30" customFormat="1" ht="15.75" customHeight="1" x14ac:dyDescent="0.25">
      <c r="A50" s="175" t="s">
        <v>141</v>
      </c>
      <c r="B50" s="102" t="s">
        <v>145</v>
      </c>
      <c r="C50" s="176"/>
      <c r="D50" s="64">
        <f>D30</f>
        <v>1033.19</v>
      </c>
      <c r="E50" s="142">
        <f>E30</f>
        <v>1033.19</v>
      </c>
    </row>
    <row r="51" spans="1:5" s="30" customFormat="1" ht="15.75" customHeight="1" x14ac:dyDescent="0.25">
      <c r="A51" s="175" t="s">
        <v>215</v>
      </c>
      <c r="B51" s="102" t="s">
        <v>146</v>
      </c>
      <c r="C51" s="176"/>
      <c r="D51" s="64">
        <f>D41</f>
        <v>2336.0700000000002</v>
      </c>
      <c r="E51" s="142">
        <f>E41</f>
        <v>2336.0700000000002</v>
      </c>
    </row>
    <row r="52" spans="1:5" s="30" customFormat="1" ht="15.75" customHeight="1" x14ac:dyDescent="0.25">
      <c r="A52" s="175" t="s">
        <v>216</v>
      </c>
      <c r="B52" s="102" t="s">
        <v>147</v>
      </c>
      <c r="C52" s="176"/>
      <c r="D52" s="64">
        <f>D48</f>
        <v>0</v>
      </c>
      <c r="E52" s="142">
        <f>E48</f>
        <v>0</v>
      </c>
    </row>
    <row r="53" spans="1:5" s="30" customFormat="1" ht="15.75" customHeight="1" x14ac:dyDescent="0.25">
      <c r="A53" s="349" t="s">
        <v>153</v>
      </c>
      <c r="B53" s="350"/>
      <c r="C53" s="350"/>
      <c r="D53" s="65">
        <f>SUM(D50:D52)</f>
        <v>3369.26</v>
      </c>
      <c r="E53" s="60">
        <f>SUM(E50:E52)</f>
        <v>3369.26</v>
      </c>
    </row>
    <row r="54" spans="1:5" s="30" customFormat="1" ht="15.75" customHeight="1" x14ac:dyDescent="0.25">
      <c r="A54" s="351" t="s">
        <v>162</v>
      </c>
      <c r="B54" s="352"/>
      <c r="C54" s="352"/>
      <c r="D54" s="352"/>
      <c r="E54" s="433"/>
    </row>
    <row r="55" spans="1:5" s="30" customFormat="1" ht="15.75" customHeight="1" x14ac:dyDescent="0.25">
      <c r="A55" s="181" t="s">
        <v>200</v>
      </c>
      <c r="B55" s="345" t="s">
        <v>32</v>
      </c>
      <c r="C55" s="346"/>
      <c r="D55" s="68" t="s">
        <v>10</v>
      </c>
      <c r="E55" s="129" t="s">
        <v>10</v>
      </c>
    </row>
    <row r="56" spans="1:5" s="30" customFormat="1" ht="15.75" customHeight="1" x14ac:dyDescent="0.25">
      <c r="A56" s="49" t="s">
        <v>0</v>
      </c>
      <c r="B56" s="182" t="s">
        <v>33</v>
      </c>
      <c r="C56" s="54">
        <v>4.5999999999999999E-3</v>
      </c>
      <c r="D56" s="77">
        <f>D$25*C56</f>
        <v>24.45</v>
      </c>
      <c r="E56" s="61">
        <f>E$25*C56</f>
        <v>24.45</v>
      </c>
    </row>
    <row r="57" spans="1:5" s="30" customFormat="1" ht="15.75" customHeight="1" x14ac:dyDescent="0.25">
      <c r="A57" s="49" t="s">
        <v>2</v>
      </c>
      <c r="B57" s="182" t="s">
        <v>34</v>
      </c>
      <c r="C57" s="54">
        <v>4.0000000000000002E-4</v>
      </c>
      <c r="D57" s="77">
        <f>D$25*C57</f>
        <v>2.13</v>
      </c>
      <c r="E57" s="61">
        <f>E$25*C57</f>
        <v>2.13</v>
      </c>
    </row>
    <row r="58" spans="1:5" s="30" customFormat="1" ht="15.75" customHeight="1" x14ac:dyDescent="0.25">
      <c r="A58" s="49" t="s">
        <v>3</v>
      </c>
      <c r="B58" s="182" t="s">
        <v>35</v>
      </c>
      <c r="C58" s="54">
        <v>1.9400000000000001E-2</v>
      </c>
      <c r="D58" s="77">
        <f>D$25*C58</f>
        <v>103.11</v>
      </c>
      <c r="E58" s="61">
        <f>E$25*C58</f>
        <v>103.11</v>
      </c>
    </row>
    <row r="59" spans="1:5" s="30" customFormat="1" ht="15.75" customHeight="1" x14ac:dyDescent="0.25">
      <c r="A59" s="49" t="s">
        <v>5</v>
      </c>
      <c r="B59" s="180" t="s">
        <v>174</v>
      </c>
      <c r="C59" s="54">
        <v>7.1000000000000004E-3</v>
      </c>
      <c r="D59" s="77">
        <f>D$25*C59</f>
        <v>37.74</v>
      </c>
      <c r="E59" s="61">
        <f>E$25*C59</f>
        <v>37.74</v>
      </c>
    </row>
    <row r="60" spans="1:5" s="30" customFormat="1" ht="32.25" customHeight="1" x14ac:dyDescent="0.25">
      <c r="A60" s="49" t="s">
        <v>20</v>
      </c>
      <c r="B60" s="182" t="s">
        <v>219</v>
      </c>
      <c r="C60" s="54">
        <v>0.04</v>
      </c>
      <c r="D60" s="77">
        <f>D$25*C60</f>
        <v>212.59</v>
      </c>
      <c r="E60" s="61">
        <f>E$25*C60</f>
        <v>212.59</v>
      </c>
    </row>
    <row r="61" spans="1:5" s="30" customFormat="1" x14ac:dyDescent="0.25">
      <c r="A61" s="349" t="s">
        <v>154</v>
      </c>
      <c r="B61" s="350"/>
      <c r="C61" s="350"/>
      <c r="D61" s="65">
        <f>SUM(D56:D60)</f>
        <v>380.02</v>
      </c>
      <c r="E61" s="60">
        <f>SUM(E56:E60)</f>
        <v>380.02</v>
      </c>
    </row>
    <row r="62" spans="1:5" s="30" customFormat="1" x14ac:dyDescent="0.25">
      <c r="A62" s="351" t="s">
        <v>163</v>
      </c>
      <c r="B62" s="352"/>
      <c r="C62" s="352"/>
      <c r="D62" s="352"/>
      <c r="E62" s="433"/>
    </row>
    <row r="63" spans="1:5" s="30" customFormat="1" x14ac:dyDescent="0.25">
      <c r="A63" s="181" t="s">
        <v>199</v>
      </c>
      <c r="B63" s="382" t="s">
        <v>36</v>
      </c>
      <c r="C63" s="382"/>
      <c r="D63" s="68" t="s">
        <v>10</v>
      </c>
      <c r="E63" s="129" t="s">
        <v>10</v>
      </c>
    </row>
    <row r="64" spans="1:5" s="30" customFormat="1" x14ac:dyDescent="0.25">
      <c r="A64" s="49" t="s">
        <v>0</v>
      </c>
      <c r="B64" s="182" t="s">
        <v>192</v>
      </c>
      <c r="C64" s="54">
        <f>C29/12</f>
        <v>9.2999999999999992E-3</v>
      </c>
      <c r="D64" s="77">
        <f>(D25+D53+D61+D84)*C64</f>
        <v>84.64</v>
      </c>
      <c r="E64" s="61">
        <f>(E25+E53+E61+E84)*C64</f>
        <v>84.64</v>
      </c>
    </row>
    <row r="65" spans="1:5" s="30" customFormat="1" x14ac:dyDescent="0.25">
      <c r="A65" s="49" t="s">
        <v>2</v>
      </c>
      <c r="B65" s="182" t="s">
        <v>193</v>
      </c>
      <c r="C65" s="54">
        <v>1.66E-2</v>
      </c>
      <c r="D65" s="77">
        <f>(D$25+D$53+D$61+D84)*C65</f>
        <v>151.07</v>
      </c>
      <c r="E65" s="61">
        <f>(E$25+E$53+E$61+E84)*C65</f>
        <v>151.07</v>
      </c>
    </row>
    <row r="66" spans="1:5" s="30" customFormat="1" x14ac:dyDescent="0.25">
      <c r="A66" s="49" t="s">
        <v>3</v>
      </c>
      <c r="B66" s="182" t="s">
        <v>194</v>
      </c>
      <c r="C66" s="54">
        <v>2.0000000000000001E-4</v>
      </c>
      <c r="D66" s="77">
        <f>(D$25+D$53+D$61+D$84)*C66</f>
        <v>1.82</v>
      </c>
      <c r="E66" s="61">
        <f>(E$25+E$53+E$61+E$84)*C66</f>
        <v>1.82</v>
      </c>
    </row>
    <row r="67" spans="1:5" s="30" customFormat="1" x14ac:dyDescent="0.25">
      <c r="A67" s="49" t="s">
        <v>5</v>
      </c>
      <c r="B67" s="182" t="s">
        <v>195</v>
      </c>
      <c r="C67" s="54">
        <v>2.7000000000000001E-3</v>
      </c>
      <c r="D67" s="77">
        <f>(D$25+D$53+D$61+D$84)*C67</f>
        <v>24.57</v>
      </c>
      <c r="E67" s="61">
        <f>(E$25+E$53+E$61+E$84)*C67</f>
        <v>24.57</v>
      </c>
    </row>
    <row r="68" spans="1:5" s="30" customFormat="1" x14ac:dyDescent="0.25">
      <c r="A68" s="49" t="s">
        <v>20</v>
      </c>
      <c r="B68" s="182" t="s">
        <v>196</v>
      </c>
      <c r="C68" s="54">
        <v>2.9999999999999997E-4</v>
      </c>
      <c r="D68" s="77">
        <f>(D$25+D$53+D$61+D$84)*C68</f>
        <v>2.73</v>
      </c>
      <c r="E68" s="61">
        <f>(E$25+E$53+E$61+E$84)*C68</f>
        <v>2.73</v>
      </c>
    </row>
    <row r="69" spans="1:5" s="30" customFormat="1" ht="15.75" customHeight="1" x14ac:dyDescent="0.25">
      <c r="A69" s="49" t="s">
        <v>21</v>
      </c>
      <c r="B69" s="182" t="s">
        <v>197</v>
      </c>
      <c r="C69" s="54">
        <v>0</v>
      </c>
      <c r="D69" s="77">
        <f>(D$25+D$53+D$61+D$84)*C69</f>
        <v>0</v>
      </c>
      <c r="E69" s="61">
        <f>(E$25+E$53+E$61+E$84)*C69</f>
        <v>0</v>
      </c>
    </row>
    <row r="70" spans="1:5" s="30" customFormat="1" x14ac:dyDescent="0.25">
      <c r="A70" s="369" t="s">
        <v>29</v>
      </c>
      <c r="B70" s="370"/>
      <c r="C70" s="55">
        <f>SUM(C64:C69)</f>
        <v>2.9100000000000001E-2</v>
      </c>
      <c r="D70" s="79">
        <f>SUM(D64:D69)</f>
        <v>264.83</v>
      </c>
      <c r="E70" s="62">
        <f>SUM(E64:E69)</f>
        <v>264.83</v>
      </c>
    </row>
    <row r="71" spans="1:5" s="30" customFormat="1" x14ac:dyDescent="0.25">
      <c r="A71" s="175"/>
      <c r="B71" s="176"/>
      <c r="C71" s="92"/>
      <c r="D71" s="92"/>
      <c r="E71" s="58"/>
    </row>
    <row r="72" spans="1:5" s="30" customFormat="1" x14ac:dyDescent="0.25">
      <c r="A72" s="175"/>
      <c r="B72" s="371" t="s">
        <v>201</v>
      </c>
      <c r="C72" s="381"/>
      <c r="D72" s="68" t="s">
        <v>10</v>
      </c>
      <c r="E72" s="129" t="s">
        <v>10</v>
      </c>
    </row>
    <row r="73" spans="1:5" s="30" customFormat="1" x14ac:dyDescent="0.25">
      <c r="A73" s="47" t="s">
        <v>0</v>
      </c>
      <c r="B73" s="183" t="s">
        <v>202</v>
      </c>
      <c r="C73" s="92">
        <v>0</v>
      </c>
      <c r="D73" s="168">
        <v>0</v>
      </c>
      <c r="E73" s="169">
        <v>0</v>
      </c>
    </row>
    <row r="74" spans="1:5" s="30" customFormat="1" ht="15.75" customHeight="1" x14ac:dyDescent="0.25">
      <c r="A74" s="369" t="s">
        <v>27</v>
      </c>
      <c r="B74" s="370"/>
      <c r="C74" s="93">
        <v>0</v>
      </c>
      <c r="D74" s="79">
        <f>D73</f>
        <v>0</v>
      </c>
      <c r="E74" s="62">
        <f>E73</f>
        <v>0</v>
      </c>
    </row>
    <row r="75" spans="1:5" s="30" customFormat="1" ht="15.75" customHeight="1" x14ac:dyDescent="0.25">
      <c r="A75" s="351" t="s">
        <v>30</v>
      </c>
      <c r="B75" s="352"/>
      <c r="C75" s="352"/>
      <c r="D75" s="352"/>
      <c r="E75" s="433"/>
    </row>
    <row r="76" spans="1:5" s="30" customFormat="1" ht="15.75" customHeight="1" x14ac:dyDescent="0.25">
      <c r="A76" s="383" t="s">
        <v>203</v>
      </c>
      <c r="B76" s="384"/>
      <c r="C76" s="384"/>
      <c r="D76" s="384"/>
      <c r="E76" s="436"/>
    </row>
    <row r="77" spans="1:5" s="30" customFormat="1" ht="15.75" customHeight="1" x14ac:dyDescent="0.25">
      <c r="A77" s="181">
        <v>4</v>
      </c>
      <c r="B77" s="345" t="s">
        <v>220</v>
      </c>
      <c r="C77" s="346"/>
      <c r="D77" s="68" t="s">
        <v>10</v>
      </c>
      <c r="E77" s="129" t="s">
        <v>10</v>
      </c>
    </row>
    <row r="78" spans="1:5" s="30" customFormat="1" ht="15.75" customHeight="1" x14ac:dyDescent="0.25">
      <c r="A78" s="49" t="s">
        <v>199</v>
      </c>
      <c r="B78" s="182" t="s">
        <v>198</v>
      </c>
      <c r="C78" s="54">
        <f>C70</f>
        <v>2.9100000000000001E-2</v>
      </c>
      <c r="D78" s="77">
        <f>D70</f>
        <v>264.83</v>
      </c>
      <c r="E78" s="61">
        <f>E70</f>
        <v>264.83</v>
      </c>
    </row>
    <row r="79" spans="1:5" s="30" customFormat="1" ht="15.75" customHeight="1" x14ac:dyDescent="0.25">
      <c r="A79" s="49" t="s">
        <v>221</v>
      </c>
      <c r="B79" s="182" t="s">
        <v>201</v>
      </c>
      <c r="C79" s="54">
        <v>0</v>
      </c>
      <c r="D79" s="77">
        <f>(D$25+D$53+D$61)*C79</f>
        <v>0</v>
      </c>
      <c r="E79" s="61">
        <f>(E$25+E$53+E$61)*C79</f>
        <v>0</v>
      </c>
    </row>
    <row r="80" spans="1:5" s="30" customFormat="1" ht="15.75" customHeight="1" x14ac:dyDescent="0.25">
      <c r="A80" s="369" t="s">
        <v>27</v>
      </c>
      <c r="B80" s="370"/>
      <c r="C80" s="91">
        <f>SUM(C78:C79)</f>
        <v>2.9100000000000001E-2</v>
      </c>
      <c r="D80" s="79">
        <f>SUM(D78:D79)</f>
        <v>264.83</v>
      </c>
      <c r="E80" s="62">
        <f>SUM(E78:E79)</f>
        <v>264.83</v>
      </c>
    </row>
    <row r="81" spans="1:5" s="30" customFormat="1" ht="15.75" customHeight="1" x14ac:dyDescent="0.25">
      <c r="A81" s="349" t="s">
        <v>155</v>
      </c>
      <c r="B81" s="350"/>
      <c r="C81" s="350"/>
      <c r="D81" s="65">
        <f>SUM(D74+D80)</f>
        <v>264.83</v>
      </c>
      <c r="E81" s="60">
        <f>SUM(E74+E80)</f>
        <v>264.83</v>
      </c>
    </row>
    <row r="82" spans="1:5" s="30" customFormat="1" ht="15.75" customHeight="1" x14ac:dyDescent="0.25">
      <c r="A82" s="347" t="s">
        <v>164</v>
      </c>
      <c r="B82" s="348"/>
      <c r="C82" s="348"/>
      <c r="D82" s="348"/>
      <c r="E82" s="435"/>
    </row>
    <row r="83" spans="1:5" s="30" customFormat="1" ht="15.75" customHeight="1" x14ac:dyDescent="0.25">
      <c r="A83" s="181">
        <v>5</v>
      </c>
      <c r="B83" s="345" t="s">
        <v>24</v>
      </c>
      <c r="C83" s="346"/>
      <c r="D83" s="68" t="s">
        <v>10</v>
      </c>
      <c r="E83" s="129" t="s">
        <v>10</v>
      </c>
    </row>
    <row r="84" spans="1:5" s="30" customFormat="1" ht="15.75" customHeight="1" x14ac:dyDescent="0.25">
      <c r="A84" s="49" t="s">
        <v>0</v>
      </c>
      <c r="B84" s="344" t="s">
        <v>222</v>
      </c>
      <c r="C84" s="344"/>
      <c r="D84" s="77">
        <f>Uniformes!H7</f>
        <v>36.619999999999997</v>
      </c>
      <c r="E84" s="61">
        <f>Uniformes!H7</f>
        <v>36.619999999999997</v>
      </c>
    </row>
    <row r="85" spans="1:5" s="30" customFormat="1" ht="15.75" customHeight="1" x14ac:dyDescent="0.25">
      <c r="A85" s="49" t="s">
        <v>2</v>
      </c>
      <c r="B85" s="344" t="s">
        <v>223</v>
      </c>
      <c r="C85" s="344"/>
      <c r="D85" s="77">
        <f>Materiais!H19</f>
        <v>44.57</v>
      </c>
      <c r="E85" s="61">
        <f>Materiais!H20</f>
        <v>44.57</v>
      </c>
    </row>
    <row r="86" spans="1:5" s="30" customFormat="1" ht="15.75" customHeight="1" x14ac:dyDescent="0.25">
      <c r="A86" s="49" t="s">
        <v>3</v>
      </c>
      <c r="B86" s="344" t="s">
        <v>187</v>
      </c>
      <c r="C86" s="344"/>
      <c r="D86" s="77">
        <f>Equipamentos!H19</f>
        <v>922.4</v>
      </c>
      <c r="E86" s="61">
        <f>Equipamentos!H20</f>
        <v>922.4</v>
      </c>
    </row>
    <row r="87" spans="1:5" s="30" customFormat="1" ht="15.75" customHeight="1" x14ac:dyDescent="0.25">
      <c r="A87" s="49" t="s">
        <v>5</v>
      </c>
      <c r="B87" s="344" t="s">
        <v>137</v>
      </c>
      <c r="C87" s="344"/>
      <c r="D87" s="77">
        <v>0</v>
      </c>
      <c r="E87" s="61">
        <v>0</v>
      </c>
    </row>
    <row r="88" spans="1:5" s="30" customFormat="1" ht="15.75" customHeight="1" x14ac:dyDescent="0.25">
      <c r="A88" s="349" t="s">
        <v>156</v>
      </c>
      <c r="B88" s="350"/>
      <c r="C88" s="350"/>
      <c r="D88" s="65">
        <f>SUM(D84:D87)</f>
        <v>1003.59</v>
      </c>
      <c r="E88" s="60">
        <f>SUM(E84:E87)</f>
        <v>1003.59</v>
      </c>
    </row>
    <row r="89" spans="1:5" s="30" customFormat="1" ht="30" customHeight="1" x14ac:dyDescent="0.25">
      <c r="A89" s="347" t="s">
        <v>225</v>
      </c>
      <c r="B89" s="348"/>
      <c r="C89" s="348"/>
      <c r="D89" s="120">
        <f>D88+D81+D61+D53+D25</f>
        <v>10332.5</v>
      </c>
      <c r="E89" s="148">
        <f>E88+E81+E61+E53+E25</f>
        <v>10332.5</v>
      </c>
    </row>
    <row r="90" spans="1:5" s="30" customFormat="1" ht="19.5" customHeight="1" x14ac:dyDescent="0.25">
      <c r="A90" s="351" t="s">
        <v>165</v>
      </c>
      <c r="B90" s="352"/>
      <c r="C90" s="352"/>
      <c r="D90" s="352"/>
      <c r="E90" s="433"/>
    </row>
    <row r="91" spans="1:5" s="30" customFormat="1" x14ac:dyDescent="0.25">
      <c r="A91" s="181">
        <v>5</v>
      </c>
      <c r="B91" s="345" t="s">
        <v>38</v>
      </c>
      <c r="C91" s="363"/>
      <c r="D91" s="68" t="s">
        <v>10</v>
      </c>
      <c r="E91" s="129" t="s">
        <v>10</v>
      </c>
    </row>
    <row r="92" spans="1:5" s="30" customFormat="1" x14ac:dyDescent="0.25">
      <c r="A92" s="181" t="s">
        <v>0</v>
      </c>
      <c r="B92" s="182" t="s">
        <v>39</v>
      </c>
      <c r="C92" s="54">
        <v>0.03</v>
      </c>
      <c r="D92" s="77">
        <f>+D89*C92</f>
        <v>309.98</v>
      </c>
      <c r="E92" s="61">
        <f>+E89*C92</f>
        <v>309.98</v>
      </c>
    </row>
    <row r="93" spans="1:5" s="30" customFormat="1" x14ac:dyDescent="0.25">
      <c r="A93" s="181" t="s">
        <v>2</v>
      </c>
      <c r="B93" s="182" t="s">
        <v>40</v>
      </c>
      <c r="C93" s="54">
        <v>6.7900000000000002E-2</v>
      </c>
      <c r="D93" s="77">
        <f>C93*(+D89+D92)</f>
        <v>722.62</v>
      </c>
      <c r="E93" s="61">
        <f>C93*(+E89+E92)</f>
        <v>722.62</v>
      </c>
    </row>
    <row r="94" spans="1:5" s="30" customFormat="1" ht="31.5" x14ac:dyDescent="0.25">
      <c r="A94" s="375" t="s">
        <v>3</v>
      </c>
      <c r="B94" s="182" t="s">
        <v>50</v>
      </c>
      <c r="C94" s="54">
        <f>1-C102</f>
        <v>0.85750000000000004</v>
      </c>
      <c r="D94" s="77">
        <f>+D89+D92+D93</f>
        <v>11365.1</v>
      </c>
      <c r="E94" s="61">
        <f>+E89+E92+E93</f>
        <v>11365.1</v>
      </c>
    </row>
    <row r="95" spans="1:5" s="30" customFormat="1" x14ac:dyDescent="0.25">
      <c r="A95" s="375"/>
      <c r="B95" s="182" t="s">
        <v>41</v>
      </c>
      <c r="C95" s="88"/>
      <c r="D95" s="121">
        <f>+D94/C94</f>
        <v>13253.76</v>
      </c>
      <c r="E95" s="149">
        <f>+E94/C94</f>
        <v>13253.76</v>
      </c>
    </row>
    <row r="96" spans="1:5" s="30" customFormat="1" x14ac:dyDescent="0.25">
      <c r="A96" s="375"/>
      <c r="B96" s="182" t="s">
        <v>42</v>
      </c>
      <c r="C96" s="67"/>
      <c r="D96" s="77"/>
      <c r="E96" s="61"/>
    </row>
    <row r="97" spans="1:5" s="30" customFormat="1" x14ac:dyDescent="0.25">
      <c r="A97" s="375"/>
      <c r="B97" s="182" t="s">
        <v>130</v>
      </c>
      <c r="C97" s="54">
        <v>1.6500000000000001E-2</v>
      </c>
      <c r="D97" s="77">
        <f>+D95*C97</f>
        <v>218.69</v>
      </c>
      <c r="E97" s="61">
        <f>+E95*C97</f>
        <v>218.69</v>
      </c>
    </row>
    <row r="98" spans="1:5" s="30" customFormat="1" x14ac:dyDescent="0.25">
      <c r="A98" s="375"/>
      <c r="B98" s="182" t="s">
        <v>131</v>
      </c>
      <c r="C98" s="54">
        <v>7.5999999999999998E-2</v>
      </c>
      <c r="D98" s="77">
        <f>+D95*C98</f>
        <v>1007.29</v>
      </c>
      <c r="E98" s="61">
        <f>+E95*C98</f>
        <v>1007.29</v>
      </c>
    </row>
    <row r="99" spans="1:5" s="30" customFormat="1" x14ac:dyDescent="0.25">
      <c r="A99" s="375"/>
      <c r="B99" s="221" t="s">
        <v>43</v>
      </c>
      <c r="C99" s="88"/>
      <c r="D99" s="77"/>
      <c r="E99" s="61"/>
    </row>
    <row r="100" spans="1:5" s="30" customFormat="1" x14ac:dyDescent="0.25">
      <c r="A100" s="375"/>
      <c r="B100" s="221" t="s">
        <v>44</v>
      </c>
      <c r="C100" s="94"/>
      <c r="D100" s="77"/>
      <c r="E100" s="61"/>
    </row>
    <row r="101" spans="1:5" s="30" customFormat="1" x14ac:dyDescent="0.25">
      <c r="A101" s="375"/>
      <c r="B101" s="182" t="s">
        <v>142</v>
      </c>
      <c r="C101" s="54">
        <v>0.05</v>
      </c>
      <c r="D101" s="77">
        <f>+D95*C101</f>
        <v>662.69</v>
      </c>
      <c r="E101" s="61">
        <f>+E95*C101</f>
        <v>662.69</v>
      </c>
    </row>
    <row r="102" spans="1:5" s="30" customFormat="1" x14ac:dyDescent="0.25">
      <c r="A102" s="181"/>
      <c r="B102" s="107" t="s">
        <v>45</v>
      </c>
      <c r="C102" s="99">
        <f>SUM(C97:C101)</f>
        <v>0.14249999999999999</v>
      </c>
      <c r="D102" s="100">
        <f>SUM(D97:D101)</f>
        <v>1888.67</v>
      </c>
      <c r="E102" s="145">
        <f>SUM(E97:E101)</f>
        <v>1888.67</v>
      </c>
    </row>
    <row r="103" spans="1:5" s="30" customFormat="1" ht="15.75" customHeight="1" x14ac:dyDescent="0.25">
      <c r="A103" s="369" t="s">
        <v>46</v>
      </c>
      <c r="B103" s="370"/>
      <c r="C103" s="370"/>
      <c r="D103" s="79">
        <f>+D92+D93+D102</f>
        <v>2921.27</v>
      </c>
      <c r="E103" s="62">
        <f>+E92+E93+E102</f>
        <v>2921.27</v>
      </c>
    </row>
    <row r="104" spans="1:5" s="30" customFormat="1" ht="15.75" customHeight="1" x14ac:dyDescent="0.25">
      <c r="A104" s="376" t="s">
        <v>47</v>
      </c>
      <c r="B104" s="377"/>
      <c r="C104" s="377"/>
      <c r="D104" s="70" t="s">
        <v>10</v>
      </c>
      <c r="E104" s="146" t="s">
        <v>10</v>
      </c>
    </row>
    <row r="105" spans="1:5" s="30" customFormat="1" x14ac:dyDescent="0.25">
      <c r="A105" s="49" t="s">
        <v>0</v>
      </c>
      <c r="B105" s="378" t="s">
        <v>48</v>
      </c>
      <c r="C105" s="378"/>
      <c r="D105" s="77">
        <f>D25</f>
        <v>5314.8</v>
      </c>
      <c r="E105" s="61">
        <f>E25</f>
        <v>5314.8</v>
      </c>
    </row>
    <row r="106" spans="1:5" s="30" customFormat="1" x14ac:dyDescent="0.25">
      <c r="A106" s="49" t="s">
        <v>2</v>
      </c>
      <c r="B106" s="378" t="s">
        <v>159</v>
      </c>
      <c r="C106" s="378"/>
      <c r="D106" s="77">
        <f>D53</f>
        <v>3369.26</v>
      </c>
      <c r="E106" s="61">
        <f>E53</f>
        <v>3369.26</v>
      </c>
    </row>
    <row r="107" spans="1:5" s="30" customFormat="1" x14ac:dyDescent="0.25">
      <c r="A107" s="49" t="s">
        <v>3</v>
      </c>
      <c r="B107" s="378" t="s">
        <v>157</v>
      </c>
      <c r="C107" s="378"/>
      <c r="D107" s="77">
        <f>D61</f>
        <v>380.02</v>
      </c>
      <c r="E107" s="61">
        <f>E61</f>
        <v>380.02</v>
      </c>
    </row>
    <row r="108" spans="1:5" s="30" customFormat="1" x14ac:dyDescent="0.25">
      <c r="A108" s="49" t="s">
        <v>5</v>
      </c>
      <c r="B108" s="378" t="s">
        <v>150</v>
      </c>
      <c r="C108" s="378"/>
      <c r="D108" s="77">
        <f>D81</f>
        <v>264.83</v>
      </c>
      <c r="E108" s="61">
        <f>E81</f>
        <v>264.83</v>
      </c>
    </row>
    <row r="109" spans="1:5" s="30" customFormat="1" x14ac:dyDescent="0.25">
      <c r="A109" s="49" t="s">
        <v>20</v>
      </c>
      <c r="B109" s="378" t="s">
        <v>158</v>
      </c>
      <c r="C109" s="378"/>
      <c r="D109" s="77">
        <f>D88</f>
        <v>1003.59</v>
      </c>
      <c r="E109" s="61">
        <f>E88</f>
        <v>1003.59</v>
      </c>
    </row>
    <row r="110" spans="1:5" s="30" customFormat="1" ht="15.75" customHeight="1" x14ac:dyDescent="0.25">
      <c r="A110" s="375" t="s">
        <v>160</v>
      </c>
      <c r="B110" s="372"/>
      <c r="C110" s="372"/>
      <c r="D110" s="100">
        <f>SUM(D105:D109)</f>
        <v>10332.5</v>
      </c>
      <c r="E110" s="145">
        <f>SUM(E105:E109)</f>
        <v>10332.5</v>
      </c>
    </row>
    <row r="111" spans="1:5" s="30" customFormat="1" x14ac:dyDescent="0.25">
      <c r="A111" s="181" t="s">
        <v>20</v>
      </c>
      <c r="B111" s="378" t="s">
        <v>161</v>
      </c>
      <c r="C111" s="378"/>
      <c r="D111" s="77">
        <f>+D103</f>
        <v>2921.27</v>
      </c>
      <c r="E111" s="61">
        <f>+E103</f>
        <v>2921.27</v>
      </c>
    </row>
    <row r="112" spans="1:5" s="30" customFormat="1" ht="16.5" customHeight="1" thickBot="1" x14ac:dyDescent="0.3">
      <c r="A112" s="361" t="s">
        <v>49</v>
      </c>
      <c r="B112" s="362"/>
      <c r="C112" s="362"/>
      <c r="D112" s="123">
        <f>+D110+D111</f>
        <v>13253.77</v>
      </c>
      <c r="E112" s="151">
        <f>+E110+E111</f>
        <v>13253.77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167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3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B55:C5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A82:E82"/>
    <mergeCell ref="A61:C61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81:C81"/>
    <mergeCell ref="A104:C104"/>
    <mergeCell ref="B83:C83"/>
    <mergeCell ref="B84:C84"/>
    <mergeCell ref="B85:C85"/>
    <mergeCell ref="B86:C86"/>
    <mergeCell ref="B87:C87"/>
    <mergeCell ref="A88:C88"/>
    <mergeCell ref="A89:C89"/>
    <mergeCell ref="A90:E90"/>
    <mergeCell ref="B91:C91"/>
    <mergeCell ref="A94:A101"/>
    <mergeCell ref="A103:C103"/>
    <mergeCell ref="B111:C111"/>
    <mergeCell ref="A112:C112"/>
    <mergeCell ref="B105:C105"/>
    <mergeCell ref="B106:C106"/>
    <mergeCell ref="B107:C107"/>
    <mergeCell ref="B108:C108"/>
    <mergeCell ref="B109:C109"/>
    <mergeCell ref="A110:C110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view="pageBreakPreview" zoomScaleNormal="115" zoomScaleSheetLayoutView="100" workbookViewId="0">
      <selection activeCell="A32" sqref="A32:A37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85"/>
      <c r="B1" s="386"/>
      <c r="C1" s="386"/>
      <c r="D1" s="386"/>
      <c r="E1" s="387"/>
    </row>
    <row r="2" spans="1:5" s="38" customFormat="1" ht="16.5" customHeight="1" x14ac:dyDescent="0.25">
      <c r="A2" s="358" t="s">
        <v>132</v>
      </c>
      <c r="B2" s="359"/>
      <c r="C2" s="359"/>
      <c r="D2" s="359"/>
      <c r="E2" s="360"/>
    </row>
    <row r="3" spans="1:5" s="38" customFormat="1" x14ac:dyDescent="0.25">
      <c r="A3" s="355" t="s">
        <v>129</v>
      </c>
      <c r="B3" s="356"/>
      <c r="C3" s="356"/>
      <c r="D3" s="356"/>
      <c r="E3" s="357"/>
    </row>
    <row r="4" spans="1:5" s="38" customFormat="1" ht="15" customHeight="1" x14ac:dyDescent="0.25">
      <c r="A4" s="40" t="s">
        <v>0</v>
      </c>
      <c r="B4" s="174" t="s">
        <v>1</v>
      </c>
      <c r="C4" s="392">
        <v>2024</v>
      </c>
      <c r="D4" s="392"/>
      <c r="E4" s="393"/>
    </row>
    <row r="5" spans="1:5" s="38" customFormat="1" ht="75" customHeight="1" x14ac:dyDescent="0.25">
      <c r="A5" s="40" t="s">
        <v>2</v>
      </c>
      <c r="B5" s="174" t="s">
        <v>140</v>
      </c>
      <c r="C5" s="394" t="s">
        <v>268</v>
      </c>
      <c r="D5" s="394"/>
      <c r="E5" s="395"/>
    </row>
    <row r="6" spans="1:5" s="38" customFormat="1" ht="15.75" customHeight="1" x14ac:dyDescent="0.25">
      <c r="A6" s="40" t="s">
        <v>3</v>
      </c>
      <c r="B6" s="174" t="s">
        <v>4</v>
      </c>
      <c r="C6" s="394" t="s">
        <v>274</v>
      </c>
      <c r="D6" s="394"/>
      <c r="E6" s="395"/>
    </row>
    <row r="7" spans="1:5" s="38" customFormat="1" x14ac:dyDescent="0.25">
      <c r="A7" s="40" t="s">
        <v>5</v>
      </c>
      <c r="B7" s="174" t="s">
        <v>143</v>
      </c>
      <c r="C7" s="394">
        <v>12</v>
      </c>
      <c r="D7" s="394"/>
      <c r="E7" s="395"/>
    </row>
    <row r="8" spans="1:5" s="38" customFormat="1" x14ac:dyDescent="0.25">
      <c r="A8" s="355" t="s">
        <v>6</v>
      </c>
      <c r="B8" s="356"/>
      <c r="C8" s="356"/>
      <c r="D8" s="356"/>
      <c r="E8" s="357"/>
    </row>
    <row r="9" spans="1:5" s="38" customFormat="1" x14ac:dyDescent="0.25">
      <c r="A9" s="355" t="s">
        <v>7</v>
      </c>
      <c r="B9" s="356"/>
      <c r="C9" s="356"/>
      <c r="D9" s="356"/>
      <c r="E9" s="357"/>
    </row>
    <row r="10" spans="1:5" s="38" customFormat="1" ht="15.75" customHeight="1" x14ac:dyDescent="0.25">
      <c r="A10" s="355" t="s">
        <v>8</v>
      </c>
      <c r="B10" s="356"/>
      <c r="C10" s="356"/>
      <c r="D10" s="356"/>
      <c r="E10" s="357"/>
    </row>
    <row r="11" spans="1:5" s="38" customFormat="1" ht="30" customHeight="1" x14ac:dyDescent="0.25">
      <c r="A11" s="396" t="s">
        <v>9</v>
      </c>
      <c r="B11" s="397"/>
      <c r="C11" s="397"/>
      <c r="D11" s="424" t="s">
        <v>10</v>
      </c>
      <c r="E11" s="425"/>
    </row>
    <row r="12" spans="1:5" s="38" customFormat="1" ht="60" customHeight="1" x14ac:dyDescent="0.25">
      <c r="A12" s="40">
        <v>1</v>
      </c>
      <c r="B12" s="224" t="s">
        <v>133</v>
      </c>
      <c r="C12" s="388" t="s">
        <v>269</v>
      </c>
      <c r="D12" s="388"/>
      <c r="E12" s="389"/>
    </row>
    <row r="13" spans="1:5" s="38" customFormat="1" ht="30" customHeight="1" x14ac:dyDescent="0.25">
      <c r="A13" s="40">
        <v>2</v>
      </c>
      <c r="B13" s="224" t="s">
        <v>11</v>
      </c>
      <c r="C13" s="399">
        <v>4750</v>
      </c>
      <c r="D13" s="400"/>
      <c r="E13" s="440"/>
    </row>
    <row r="14" spans="1:5" s="38" customFormat="1" ht="15.75" customHeight="1" x14ac:dyDescent="0.25">
      <c r="A14" s="40">
        <v>3</v>
      </c>
      <c r="B14" s="224" t="s">
        <v>12</v>
      </c>
      <c r="C14" s="388" t="s">
        <v>236</v>
      </c>
      <c r="D14" s="388"/>
      <c r="E14" s="389"/>
    </row>
    <row r="15" spans="1:5" s="38" customFormat="1" x14ac:dyDescent="0.25">
      <c r="A15" s="40">
        <v>4</v>
      </c>
      <c r="B15" s="223" t="s">
        <v>13</v>
      </c>
      <c r="C15" s="390"/>
      <c r="D15" s="390"/>
      <c r="E15" s="391"/>
    </row>
    <row r="16" spans="1:5" s="39" customFormat="1" ht="30" customHeight="1" x14ac:dyDescent="0.25">
      <c r="A16" s="353" t="s">
        <v>14</v>
      </c>
      <c r="B16" s="354"/>
      <c r="C16" s="354"/>
      <c r="D16" s="125" t="s">
        <v>264</v>
      </c>
      <c r="E16" s="134" t="s">
        <v>267</v>
      </c>
    </row>
    <row r="17" spans="1:5" s="39" customFormat="1" x14ac:dyDescent="0.25">
      <c r="A17" s="175">
        <v>1</v>
      </c>
      <c r="B17" s="371" t="s">
        <v>15</v>
      </c>
      <c r="C17" s="371"/>
      <c r="D17" s="56" t="s">
        <v>10</v>
      </c>
      <c r="E17" s="57" t="s">
        <v>10</v>
      </c>
    </row>
    <row r="18" spans="1:5" s="38" customFormat="1" ht="15.75" customHeight="1" x14ac:dyDescent="0.25">
      <c r="A18" s="44" t="s">
        <v>0</v>
      </c>
      <c r="B18" s="223" t="s">
        <v>16</v>
      </c>
      <c r="C18" s="211"/>
      <c r="D18" s="74">
        <f>C13</f>
        <v>4750</v>
      </c>
      <c r="E18" s="58">
        <f>C13</f>
        <v>4750</v>
      </c>
    </row>
    <row r="19" spans="1:5" s="38" customFormat="1" ht="15.75" customHeight="1" x14ac:dyDescent="0.25">
      <c r="A19" s="44" t="s">
        <v>2</v>
      </c>
      <c r="B19" s="223" t="s">
        <v>17</v>
      </c>
      <c r="C19" s="212"/>
      <c r="D19" s="76"/>
      <c r="E19" s="59"/>
    </row>
    <row r="20" spans="1:5" s="38" customFormat="1" ht="15.75" customHeight="1" x14ac:dyDescent="0.25">
      <c r="A20" s="44" t="s">
        <v>3</v>
      </c>
      <c r="B20" s="223" t="s">
        <v>18</v>
      </c>
      <c r="C20" s="108" t="s">
        <v>242</v>
      </c>
      <c r="D20" s="76">
        <f>40%*1412</f>
        <v>564.79999999999995</v>
      </c>
      <c r="E20" s="59">
        <f>40%*1412</f>
        <v>564.79999999999995</v>
      </c>
    </row>
    <row r="21" spans="1:5" s="38" customFormat="1" ht="15.75" customHeight="1" x14ac:dyDescent="0.25">
      <c r="A21" s="44" t="s">
        <v>5</v>
      </c>
      <c r="B21" s="223" t="s">
        <v>19</v>
      </c>
      <c r="C21" s="212"/>
      <c r="D21" s="76">
        <f>((((D18+D20)/220)*20%)*8)*15.21</f>
        <v>587.91</v>
      </c>
      <c r="E21" s="59">
        <f>((((E18+E20)/220)*20%)*8)*15.21</f>
        <v>587.91</v>
      </c>
    </row>
    <row r="22" spans="1:5" s="38" customFormat="1" ht="15.75" customHeight="1" x14ac:dyDescent="0.25">
      <c r="A22" s="44" t="s">
        <v>20</v>
      </c>
      <c r="B22" s="223" t="s">
        <v>204</v>
      </c>
      <c r="C22" s="212"/>
      <c r="D22" s="76"/>
      <c r="E22" s="59"/>
    </row>
    <row r="23" spans="1:5" s="38" customFormat="1" x14ac:dyDescent="0.25">
      <c r="A23" s="44" t="s">
        <v>21</v>
      </c>
      <c r="B23" s="223" t="s">
        <v>138</v>
      </c>
      <c r="C23" s="108"/>
      <c r="D23" s="76"/>
      <c r="E23" s="59"/>
    </row>
    <row r="24" spans="1:5" s="38" customFormat="1" ht="15.75" customHeight="1" x14ac:dyDescent="0.25">
      <c r="A24" s="44" t="s">
        <v>22</v>
      </c>
      <c r="B24" s="183" t="s">
        <v>139</v>
      </c>
      <c r="C24" s="108"/>
      <c r="D24" s="76"/>
      <c r="E24" s="59"/>
    </row>
    <row r="25" spans="1:5" s="39" customFormat="1" ht="15.75" customHeight="1" x14ac:dyDescent="0.25">
      <c r="A25" s="349" t="s">
        <v>152</v>
      </c>
      <c r="B25" s="350"/>
      <c r="C25" s="350"/>
      <c r="D25" s="65">
        <f>SUM(D18:D24)</f>
        <v>5902.71</v>
      </c>
      <c r="E25" s="60">
        <f>SUM(E18:E24)</f>
        <v>5902.71</v>
      </c>
    </row>
    <row r="26" spans="1:5" s="39" customFormat="1" x14ac:dyDescent="0.25">
      <c r="A26" s="353" t="s">
        <v>51</v>
      </c>
      <c r="B26" s="354"/>
      <c r="C26" s="354"/>
      <c r="D26" s="354"/>
      <c r="E26" s="429"/>
    </row>
    <row r="27" spans="1:5" s="38" customFormat="1" x14ac:dyDescent="0.25">
      <c r="A27" s="181" t="s">
        <v>141</v>
      </c>
      <c r="B27" s="345" t="s">
        <v>205</v>
      </c>
      <c r="C27" s="363"/>
      <c r="D27" s="68" t="s">
        <v>10</v>
      </c>
      <c r="E27" s="129" t="s">
        <v>10</v>
      </c>
    </row>
    <row r="28" spans="1:5" s="38" customFormat="1" x14ac:dyDescent="0.25">
      <c r="A28" s="49" t="s">
        <v>0</v>
      </c>
      <c r="B28" s="182" t="s">
        <v>28</v>
      </c>
      <c r="C28" s="54">
        <f>1/12</f>
        <v>8.3299999999999999E-2</v>
      </c>
      <c r="D28" s="77">
        <f>(D25)*C28</f>
        <v>491.7</v>
      </c>
      <c r="E28" s="61">
        <f>(E25)*C28</f>
        <v>491.7</v>
      </c>
    </row>
    <row r="29" spans="1:5" s="38" customFormat="1" x14ac:dyDescent="0.25">
      <c r="A29" s="49" t="s">
        <v>2</v>
      </c>
      <c r="B29" s="182" t="s">
        <v>148</v>
      </c>
      <c r="C29" s="54">
        <v>0.1111</v>
      </c>
      <c r="D29" s="77">
        <f>(D25)*C29</f>
        <v>655.79</v>
      </c>
      <c r="E29" s="61">
        <f>(E25)*C29</f>
        <v>655.79</v>
      </c>
    </row>
    <row r="30" spans="1:5" x14ac:dyDescent="0.25">
      <c r="A30" s="369" t="s">
        <v>27</v>
      </c>
      <c r="B30" s="370"/>
      <c r="C30" s="91">
        <f>SUM(C28:C29)</f>
        <v>0.19439999999999999</v>
      </c>
      <c r="D30" s="79">
        <f>SUM(D28:D29)</f>
        <v>1147.49</v>
      </c>
      <c r="E30" s="62">
        <f>SUM(E28:E29)</f>
        <v>1147.49</v>
      </c>
    </row>
    <row r="31" spans="1:5" ht="32.25" customHeight="1" x14ac:dyDescent="0.25">
      <c r="A31" s="430" t="s">
        <v>190</v>
      </c>
      <c r="B31" s="431"/>
      <c r="C31" s="431"/>
      <c r="D31" s="431"/>
      <c r="E31" s="432"/>
    </row>
    <row r="32" spans="1:5" x14ac:dyDescent="0.25">
      <c r="A32" s="179" t="s">
        <v>141</v>
      </c>
      <c r="B32" s="348" t="s">
        <v>25</v>
      </c>
      <c r="C32" s="411"/>
      <c r="D32" s="69" t="s">
        <v>10</v>
      </c>
      <c r="E32" s="127" t="s">
        <v>10</v>
      </c>
    </row>
    <row r="33" spans="1:5" x14ac:dyDescent="0.25">
      <c r="A33" s="49" t="s">
        <v>0</v>
      </c>
      <c r="B33" s="80" t="s">
        <v>207</v>
      </c>
      <c r="C33" s="54">
        <v>0.2</v>
      </c>
      <c r="D33" s="77">
        <f t="shared" ref="D33:D40" si="0">($D$25+D$30)*C33</f>
        <v>1410.04</v>
      </c>
      <c r="E33" s="61">
        <f t="shared" ref="E33:E40" si="1">($E$25+E$30)*C33</f>
        <v>1410.04</v>
      </c>
    </row>
    <row r="34" spans="1:5" x14ac:dyDescent="0.25">
      <c r="A34" s="49" t="s">
        <v>2</v>
      </c>
      <c r="B34" s="80" t="s">
        <v>208</v>
      </c>
      <c r="C34" s="81">
        <v>1.4999999999999999E-2</v>
      </c>
      <c r="D34" s="77">
        <f t="shared" si="0"/>
        <v>105.75</v>
      </c>
      <c r="E34" s="61">
        <f t="shared" si="1"/>
        <v>105.75</v>
      </c>
    </row>
    <row r="35" spans="1:5" x14ac:dyDescent="0.25">
      <c r="A35" s="49" t="s">
        <v>3</v>
      </c>
      <c r="B35" s="80" t="s">
        <v>209</v>
      </c>
      <c r="C35" s="81">
        <v>0.01</v>
      </c>
      <c r="D35" s="77">
        <f t="shared" si="0"/>
        <v>70.5</v>
      </c>
      <c r="E35" s="61">
        <f t="shared" si="1"/>
        <v>70.5</v>
      </c>
    </row>
    <row r="36" spans="1:5" ht="31.5" x14ac:dyDescent="0.25">
      <c r="A36" s="49" t="s">
        <v>5</v>
      </c>
      <c r="B36" s="180" t="s">
        <v>210</v>
      </c>
      <c r="C36" s="81">
        <v>2E-3</v>
      </c>
      <c r="D36" s="77">
        <f t="shared" si="0"/>
        <v>14.1</v>
      </c>
      <c r="E36" s="61">
        <f t="shared" si="1"/>
        <v>14.1</v>
      </c>
    </row>
    <row r="37" spans="1:5" x14ac:dyDescent="0.25">
      <c r="A37" s="49" t="s">
        <v>20</v>
      </c>
      <c r="B37" s="80" t="s">
        <v>211</v>
      </c>
      <c r="C37" s="81">
        <v>2.5000000000000001E-2</v>
      </c>
      <c r="D37" s="77">
        <f t="shared" si="0"/>
        <v>176.26</v>
      </c>
      <c r="E37" s="61">
        <f t="shared" si="1"/>
        <v>176.26</v>
      </c>
    </row>
    <row r="38" spans="1:5" x14ac:dyDescent="0.25">
      <c r="A38" s="49" t="s">
        <v>21</v>
      </c>
      <c r="B38" s="107" t="s">
        <v>212</v>
      </c>
      <c r="C38" s="81">
        <v>0.08</v>
      </c>
      <c r="D38" s="77">
        <f t="shared" si="0"/>
        <v>564.02</v>
      </c>
      <c r="E38" s="61">
        <f t="shared" si="1"/>
        <v>564.02</v>
      </c>
    </row>
    <row r="39" spans="1:5" ht="47.25" x14ac:dyDescent="0.25">
      <c r="A39" s="49" t="s">
        <v>22</v>
      </c>
      <c r="B39" s="180" t="s">
        <v>213</v>
      </c>
      <c r="C39" s="81">
        <v>0.03</v>
      </c>
      <c r="D39" s="77">
        <f t="shared" si="0"/>
        <v>211.51</v>
      </c>
      <c r="E39" s="61">
        <f t="shared" si="1"/>
        <v>211.51</v>
      </c>
    </row>
    <row r="40" spans="1:5" x14ac:dyDescent="0.25">
      <c r="A40" s="49" t="s">
        <v>26</v>
      </c>
      <c r="B40" s="106" t="s">
        <v>214</v>
      </c>
      <c r="C40" s="81">
        <v>6.0000000000000001E-3</v>
      </c>
      <c r="D40" s="77">
        <f t="shared" si="0"/>
        <v>42.3</v>
      </c>
      <c r="E40" s="61">
        <f t="shared" si="1"/>
        <v>42.3</v>
      </c>
    </row>
    <row r="41" spans="1:5" s="30" customFormat="1" x14ac:dyDescent="0.25">
      <c r="A41" s="369" t="s">
        <v>27</v>
      </c>
      <c r="B41" s="370"/>
      <c r="C41" s="55">
        <f>SUM(C33:C40)</f>
        <v>0.36799999999999999</v>
      </c>
      <c r="D41" s="79">
        <f>SUM(D33:D40)</f>
        <v>2594.48</v>
      </c>
      <c r="E41" s="62">
        <f>SUM(E33:E40)</f>
        <v>2594.48</v>
      </c>
    </row>
    <row r="42" spans="1:5" s="30" customFormat="1" x14ac:dyDescent="0.25">
      <c r="A42" s="351" t="s">
        <v>173</v>
      </c>
      <c r="B42" s="352"/>
      <c r="C42" s="352"/>
      <c r="D42" s="352"/>
      <c r="E42" s="433"/>
    </row>
    <row r="43" spans="1:5" s="30" customFormat="1" x14ac:dyDescent="0.25">
      <c r="A43" s="219" t="s">
        <v>216</v>
      </c>
      <c r="B43" s="412" t="s">
        <v>217</v>
      </c>
      <c r="C43" s="413"/>
      <c r="D43" s="218"/>
      <c r="E43" s="178"/>
    </row>
    <row r="44" spans="1:5" s="30" customFormat="1" x14ac:dyDescent="0.25">
      <c r="A44" s="90" t="s">
        <v>0</v>
      </c>
      <c r="B44" s="222" t="s">
        <v>144</v>
      </c>
      <c r="C44" s="105"/>
      <c r="D44" s="101">
        <v>0</v>
      </c>
      <c r="E44" s="124">
        <v>0</v>
      </c>
    </row>
    <row r="45" spans="1:5" s="30" customFormat="1" x14ac:dyDescent="0.25">
      <c r="A45" s="47" t="s">
        <v>2</v>
      </c>
      <c r="B45" s="183" t="s">
        <v>191</v>
      </c>
      <c r="C45" s="72"/>
      <c r="D45" s="101">
        <v>0</v>
      </c>
      <c r="E45" s="124">
        <v>0</v>
      </c>
    </row>
    <row r="46" spans="1:5" s="30" customFormat="1" x14ac:dyDescent="0.25">
      <c r="A46" s="49" t="s">
        <v>3</v>
      </c>
      <c r="B46" s="182" t="s">
        <v>134</v>
      </c>
      <c r="C46" s="66"/>
      <c r="D46" s="101">
        <v>0</v>
      </c>
      <c r="E46" s="124">
        <v>0</v>
      </c>
    </row>
    <row r="47" spans="1:5" s="30" customFormat="1" x14ac:dyDescent="0.25">
      <c r="A47" s="49" t="s">
        <v>5</v>
      </c>
      <c r="B47" s="182" t="s">
        <v>135</v>
      </c>
      <c r="C47" s="54"/>
      <c r="D47" s="101">
        <v>0</v>
      </c>
      <c r="E47" s="124">
        <v>0</v>
      </c>
    </row>
    <row r="48" spans="1:5" s="30" customFormat="1" x14ac:dyDescent="0.25">
      <c r="A48" s="49" t="s">
        <v>20</v>
      </c>
      <c r="B48" s="182" t="s">
        <v>136</v>
      </c>
      <c r="C48" s="66"/>
      <c r="D48" s="101">
        <v>0</v>
      </c>
      <c r="E48" s="124">
        <v>0</v>
      </c>
    </row>
    <row r="49" spans="1:5" s="30" customFormat="1" ht="15.75" customHeight="1" x14ac:dyDescent="0.25">
      <c r="A49" s="369" t="s">
        <v>23</v>
      </c>
      <c r="B49" s="370"/>
      <c r="C49" s="370"/>
      <c r="D49" s="79">
        <f>SUM(D44:D48)</f>
        <v>0</v>
      </c>
      <c r="E49" s="62">
        <f>SUM(E44:E48)</f>
        <v>0</v>
      </c>
    </row>
    <row r="50" spans="1:5" s="30" customFormat="1" ht="15.75" customHeight="1" x14ac:dyDescent="0.25">
      <c r="A50" s="351" t="s">
        <v>224</v>
      </c>
      <c r="B50" s="352"/>
      <c r="C50" s="352"/>
      <c r="D50" s="352"/>
      <c r="E50" s="433"/>
    </row>
    <row r="51" spans="1:5" s="30" customFormat="1" ht="15.75" customHeight="1" x14ac:dyDescent="0.25">
      <c r="A51" s="175" t="s">
        <v>141</v>
      </c>
      <c r="B51" s="96" t="s">
        <v>145</v>
      </c>
      <c r="C51" s="176"/>
      <c r="D51" s="64">
        <f>D30</f>
        <v>1147.49</v>
      </c>
      <c r="E51" s="142">
        <f>E30</f>
        <v>1147.49</v>
      </c>
    </row>
    <row r="52" spans="1:5" s="30" customFormat="1" ht="15.75" customHeight="1" x14ac:dyDescent="0.25">
      <c r="A52" s="175" t="s">
        <v>215</v>
      </c>
      <c r="B52" s="96" t="s">
        <v>146</v>
      </c>
      <c r="C52" s="176"/>
      <c r="D52" s="64">
        <f>D41</f>
        <v>2594.48</v>
      </c>
      <c r="E52" s="142">
        <f>E41</f>
        <v>2594.48</v>
      </c>
    </row>
    <row r="53" spans="1:5" s="30" customFormat="1" ht="15.75" customHeight="1" x14ac:dyDescent="0.25">
      <c r="A53" s="175" t="s">
        <v>216</v>
      </c>
      <c r="B53" s="96" t="s">
        <v>147</v>
      </c>
      <c r="C53" s="176"/>
      <c r="D53" s="64">
        <f>D49</f>
        <v>0</v>
      </c>
      <c r="E53" s="142">
        <f>E49</f>
        <v>0</v>
      </c>
    </row>
    <row r="54" spans="1:5" s="30" customFormat="1" ht="15.75" customHeight="1" x14ac:dyDescent="0.25">
      <c r="A54" s="349" t="s">
        <v>153</v>
      </c>
      <c r="B54" s="350"/>
      <c r="C54" s="350"/>
      <c r="D54" s="65">
        <f>SUM(D51:D53)</f>
        <v>3741.97</v>
      </c>
      <c r="E54" s="60">
        <f>SUM(E51:E53)</f>
        <v>3741.97</v>
      </c>
    </row>
    <row r="55" spans="1:5" s="30" customFormat="1" ht="15.75" customHeight="1" x14ac:dyDescent="0.25">
      <c r="A55" s="353" t="s">
        <v>162</v>
      </c>
      <c r="B55" s="354"/>
      <c r="C55" s="354"/>
      <c r="D55" s="354"/>
      <c r="E55" s="429"/>
    </row>
    <row r="56" spans="1:5" s="30" customFormat="1" ht="15.75" customHeight="1" x14ac:dyDescent="0.25">
      <c r="A56" s="181" t="s">
        <v>200</v>
      </c>
      <c r="B56" s="372" t="s">
        <v>32</v>
      </c>
      <c r="C56" s="438"/>
      <c r="D56" s="68" t="s">
        <v>10</v>
      </c>
      <c r="E56" s="129" t="s">
        <v>10</v>
      </c>
    </row>
    <row r="57" spans="1:5" s="30" customFormat="1" ht="15.75" customHeight="1" x14ac:dyDescent="0.25">
      <c r="A57" s="49" t="s">
        <v>0</v>
      </c>
      <c r="B57" s="182" t="s">
        <v>33</v>
      </c>
      <c r="C57" s="54">
        <v>4.5999999999999999E-3</v>
      </c>
      <c r="D57" s="77">
        <f>D$25*C57</f>
        <v>27.15</v>
      </c>
      <c r="E57" s="61">
        <f>E$25*C57</f>
        <v>27.15</v>
      </c>
    </row>
    <row r="58" spans="1:5" s="30" customFormat="1" ht="15.75" customHeight="1" x14ac:dyDescent="0.25">
      <c r="A58" s="49" t="s">
        <v>2</v>
      </c>
      <c r="B58" s="182" t="s">
        <v>34</v>
      </c>
      <c r="C58" s="54">
        <v>4.0000000000000002E-4</v>
      </c>
      <c r="D58" s="77">
        <f>D$25*C58</f>
        <v>2.36</v>
      </c>
      <c r="E58" s="61">
        <f>E$25*C58</f>
        <v>2.36</v>
      </c>
    </row>
    <row r="59" spans="1:5" s="30" customFormat="1" ht="15.75" customHeight="1" x14ac:dyDescent="0.25">
      <c r="A59" s="49" t="s">
        <v>3</v>
      </c>
      <c r="B59" s="80" t="s">
        <v>35</v>
      </c>
      <c r="C59" s="54">
        <v>1.9400000000000001E-2</v>
      </c>
      <c r="D59" s="77">
        <f>D$25*C59</f>
        <v>114.51</v>
      </c>
      <c r="E59" s="61">
        <f>E$25*C59</f>
        <v>114.51</v>
      </c>
    </row>
    <row r="60" spans="1:5" s="30" customFormat="1" ht="30.75" customHeight="1" x14ac:dyDescent="0.25">
      <c r="A60" s="49" t="s">
        <v>5</v>
      </c>
      <c r="B60" s="182" t="s">
        <v>174</v>
      </c>
      <c r="C60" s="54">
        <v>7.1000000000000004E-3</v>
      </c>
      <c r="D60" s="77">
        <f>D$25*C60</f>
        <v>41.91</v>
      </c>
      <c r="E60" s="61">
        <f>E$25*C60</f>
        <v>41.91</v>
      </c>
    </row>
    <row r="61" spans="1:5" s="30" customFormat="1" ht="15.75" customHeight="1" x14ac:dyDescent="0.25">
      <c r="A61" s="49" t="s">
        <v>20</v>
      </c>
      <c r="B61" s="182" t="s">
        <v>149</v>
      </c>
      <c r="C61" s="54">
        <v>0.04</v>
      </c>
      <c r="D61" s="77">
        <f>D$25*C61</f>
        <v>236.11</v>
      </c>
      <c r="E61" s="61">
        <f>E$25*C61</f>
        <v>236.11</v>
      </c>
    </row>
    <row r="62" spans="1:5" s="30" customFormat="1" x14ac:dyDescent="0.25">
      <c r="A62" s="349" t="s">
        <v>154</v>
      </c>
      <c r="B62" s="350"/>
      <c r="C62" s="350"/>
      <c r="D62" s="65">
        <f>SUM(D57:D61)</f>
        <v>422.04</v>
      </c>
      <c r="E62" s="60">
        <f>SUM(E57:E61)</f>
        <v>422.04</v>
      </c>
    </row>
    <row r="63" spans="1:5" s="30" customFormat="1" x14ac:dyDescent="0.25">
      <c r="A63" s="353" t="s">
        <v>163</v>
      </c>
      <c r="B63" s="354"/>
      <c r="C63" s="354"/>
      <c r="D63" s="354"/>
      <c r="E63" s="429"/>
    </row>
    <row r="64" spans="1:5" s="30" customFormat="1" x14ac:dyDescent="0.25">
      <c r="A64" s="181" t="s">
        <v>199</v>
      </c>
      <c r="B64" s="426" t="s">
        <v>198</v>
      </c>
      <c r="C64" s="426"/>
      <c r="D64" s="68" t="s">
        <v>10</v>
      </c>
      <c r="E64" s="129" t="s">
        <v>10</v>
      </c>
    </row>
    <row r="65" spans="1:5" s="30" customFormat="1" x14ac:dyDescent="0.25">
      <c r="A65" s="49" t="s">
        <v>0</v>
      </c>
      <c r="B65" s="182" t="s">
        <v>192</v>
      </c>
      <c r="C65" s="54">
        <f>C29/12</f>
        <v>9.2999999999999992E-3</v>
      </c>
      <c r="D65" s="77">
        <f t="shared" ref="D65:D70" si="2">(D$25+D$54+D$62+D$85)*C65</f>
        <v>93.96</v>
      </c>
      <c r="E65" s="61">
        <f t="shared" ref="E65:E70" si="3">(E$25+E$54+E$62+E$85)*C65</f>
        <v>93.96</v>
      </c>
    </row>
    <row r="66" spans="1:5" s="30" customFormat="1" x14ac:dyDescent="0.25">
      <c r="A66" s="49" t="s">
        <v>2</v>
      </c>
      <c r="B66" s="182" t="s">
        <v>193</v>
      </c>
      <c r="C66" s="54">
        <v>1.66E-2</v>
      </c>
      <c r="D66" s="77">
        <f t="shared" si="2"/>
        <v>167.72</v>
      </c>
      <c r="E66" s="61">
        <f t="shared" si="3"/>
        <v>167.72</v>
      </c>
    </row>
    <row r="67" spans="1:5" s="30" customFormat="1" x14ac:dyDescent="0.25">
      <c r="A67" s="49" t="s">
        <v>3</v>
      </c>
      <c r="B67" s="182" t="s">
        <v>194</v>
      </c>
      <c r="C67" s="54">
        <v>2.0000000000000001E-4</v>
      </c>
      <c r="D67" s="77">
        <f t="shared" si="2"/>
        <v>2.02</v>
      </c>
      <c r="E67" s="61">
        <f t="shared" si="3"/>
        <v>2.02</v>
      </c>
    </row>
    <row r="68" spans="1:5" s="30" customFormat="1" x14ac:dyDescent="0.25">
      <c r="A68" s="49" t="s">
        <v>5</v>
      </c>
      <c r="B68" s="182" t="s">
        <v>195</v>
      </c>
      <c r="C68" s="54">
        <v>2.7000000000000001E-3</v>
      </c>
      <c r="D68" s="77">
        <f t="shared" si="2"/>
        <v>27.28</v>
      </c>
      <c r="E68" s="61">
        <f t="shared" si="3"/>
        <v>27.28</v>
      </c>
    </row>
    <row r="69" spans="1:5" s="30" customFormat="1" x14ac:dyDescent="0.25">
      <c r="A69" s="49" t="s">
        <v>20</v>
      </c>
      <c r="B69" s="182" t="s">
        <v>196</v>
      </c>
      <c r="C69" s="54">
        <v>2.9999999999999997E-4</v>
      </c>
      <c r="D69" s="77">
        <f t="shared" si="2"/>
        <v>3.03</v>
      </c>
      <c r="E69" s="61">
        <f t="shared" si="3"/>
        <v>3.03</v>
      </c>
    </row>
    <row r="70" spans="1:5" s="30" customFormat="1" ht="15.75" customHeight="1" x14ac:dyDescent="0.25">
      <c r="A70" s="49" t="s">
        <v>21</v>
      </c>
      <c r="B70" s="182" t="s">
        <v>197</v>
      </c>
      <c r="C70" s="54">
        <v>0</v>
      </c>
      <c r="D70" s="77">
        <f t="shared" si="2"/>
        <v>0</v>
      </c>
      <c r="E70" s="61">
        <f t="shared" si="3"/>
        <v>0</v>
      </c>
    </row>
    <row r="71" spans="1:5" s="30" customFormat="1" x14ac:dyDescent="0.25">
      <c r="A71" s="369" t="s">
        <v>29</v>
      </c>
      <c r="B71" s="370"/>
      <c r="C71" s="55">
        <f>SUM(C65:C70)</f>
        <v>2.9100000000000001E-2</v>
      </c>
      <c r="D71" s="79">
        <f>SUM(D65:D70)</f>
        <v>294.01</v>
      </c>
      <c r="E71" s="62">
        <f>SUM(E65:E70)</f>
        <v>294.01</v>
      </c>
    </row>
    <row r="72" spans="1:5" s="30" customFormat="1" x14ac:dyDescent="0.25">
      <c r="A72" s="175"/>
      <c r="B72" s="176"/>
      <c r="C72" s="92"/>
      <c r="D72" s="92"/>
      <c r="E72" s="58"/>
    </row>
    <row r="73" spans="1:5" s="30" customFormat="1" x14ac:dyDescent="0.25">
      <c r="A73" s="175"/>
      <c r="B73" s="397" t="s">
        <v>201</v>
      </c>
      <c r="C73" s="439"/>
      <c r="D73" s="68" t="s">
        <v>10</v>
      </c>
      <c r="E73" s="129" t="s">
        <v>10</v>
      </c>
    </row>
    <row r="74" spans="1:5" s="30" customFormat="1" x14ac:dyDescent="0.25">
      <c r="A74" s="49" t="s">
        <v>0</v>
      </c>
      <c r="B74" s="182" t="s">
        <v>202</v>
      </c>
      <c r="C74" s="54">
        <v>0</v>
      </c>
      <c r="D74" s="77">
        <f>(D$25+D$54+D$62)*C74</f>
        <v>0</v>
      </c>
      <c r="E74" s="61">
        <f>(E$25+E$54+E$62)*C74</f>
        <v>0</v>
      </c>
    </row>
    <row r="75" spans="1:5" s="30" customFormat="1" ht="15.75" customHeight="1" x14ac:dyDescent="0.25">
      <c r="A75" s="369" t="s">
        <v>27</v>
      </c>
      <c r="B75" s="370"/>
      <c r="C75" s="93">
        <f>C74</f>
        <v>0</v>
      </c>
      <c r="D75" s="79">
        <f>D74</f>
        <v>0</v>
      </c>
      <c r="E75" s="62">
        <f>E74</f>
        <v>0</v>
      </c>
    </row>
    <row r="76" spans="1:5" s="30" customFormat="1" ht="15.75" customHeight="1" x14ac:dyDescent="0.25">
      <c r="A76" s="351" t="s">
        <v>30</v>
      </c>
      <c r="B76" s="352"/>
      <c r="C76" s="352"/>
      <c r="D76" s="352"/>
      <c r="E76" s="433"/>
    </row>
    <row r="77" spans="1:5" s="30" customFormat="1" ht="15.75" customHeight="1" x14ac:dyDescent="0.25">
      <c r="A77" s="427" t="s">
        <v>203</v>
      </c>
      <c r="B77" s="428"/>
      <c r="C77" s="428"/>
      <c r="D77" s="428"/>
      <c r="E77" s="434"/>
    </row>
    <row r="78" spans="1:5" s="30" customFormat="1" ht="15.75" customHeight="1" x14ac:dyDescent="0.25">
      <c r="A78" s="181">
        <v>4</v>
      </c>
      <c r="B78" s="345" t="s">
        <v>31</v>
      </c>
      <c r="C78" s="346"/>
      <c r="D78" s="68" t="s">
        <v>10</v>
      </c>
      <c r="E78" s="129" t="s">
        <v>10</v>
      </c>
    </row>
    <row r="79" spans="1:5" s="30" customFormat="1" ht="15.75" customHeight="1" x14ac:dyDescent="0.25">
      <c r="A79" s="49" t="s">
        <v>199</v>
      </c>
      <c r="B79" s="182" t="s">
        <v>198</v>
      </c>
      <c r="C79" s="54">
        <v>2.9899999999999999E-2</v>
      </c>
      <c r="D79" s="77">
        <f>D71</f>
        <v>294.01</v>
      </c>
      <c r="E79" s="61">
        <f>E71</f>
        <v>294.01</v>
      </c>
    </row>
    <row r="80" spans="1:5" s="30" customFormat="1" ht="15.75" customHeight="1" x14ac:dyDescent="0.25">
      <c r="A80" s="49" t="s">
        <v>221</v>
      </c>
      <c r="B80" s="182" t="s">
        <v>201</v>
      </c>
      <c r="C80" s="54">
        <v>0</v>
      </c>
      <c r="D80" s="77">
        <f>(D$25+D$54+D$62)*C80</f>
        <v>0</v>
      </c>
      <c r="E80" s="61">
        <f>(E$25+E$54+E$62)*C80</f>
        <v>0</v>
      </c>
    </row>
    <row r="81" spans="1:5" s="30" customFormat="1" ht="15.75" customHeight="1" x14ac:dyDescent="0.25">
      <c r="A81" s="369" t="s">
        <v>27</v>
      </c>
      <c r="B81" s="370"/>
      <c r="C81" s="91">
        <f>SUM(C79:C80)</f>
        <v>2.9899999999999999E-2</v>
      </c>
      <c r="D81" s="79">
        <f>SUM(D79:D80)</f>
        <v>294.01</v>
      </c>
      <c r="E81" s="62">
        <f>SUM(E79:E80)</f>
        <v>294.01</v>
      </c>
    </row>
    <row r="82" spans="1:5" s="30" customFormat="1" ht="15.75" customHeight="1" x14ac:dyDescent="0.25">
      <c r="A82" s="349" t="s">
        <v>155</v>
      </c>
      <c r="B82" s="350"/>
      <c r="C82" s="350"/>
      <c r="D82" s="65">
        <f>SUM(D75+D81)</f>
        <v>294.01</v>
      </c>
      <c r="E82" s="60">
        <f>SUM(E75+E81)</f>
        <v>294.01</v>
      </c>
    </row>
    <row r="83" spans="1:5" s="30" customFormat="1" ht="15.75" customHeight="1" x14ac:dyDescent="0.25">
      <c r="A83" s="353" t="s">
        <v>164</v>
      </c>
      <c r="B83" s="354"/>
      <c r="C83" s="354"/>
      <c r="D83" s="354"/>
      <c r="E83" s="429"/>
    </row>
    <row r="84" spans="1:5" s="30" customFormat="1" ht="15.75" customHeight="1" x14ac:dyDescent="0.25">
      <c r="A84" s="181">
        <v>5</v>
      </c>
      <c r="B84" s="345" t="s">
        <v>24</v>
      </c>
      <c r="C84" s="346"/>
      <c r="D84" s="68" t="s">
        <v>10</v>
      </c>
      <c r="E84" s="129" t="s">
        <v>10</v>
      </c>
    </row>
    <row r="85" spans="1:5" s="30" customFormat="1" ht="15.75" customHeight="1" x14ac:dyDescent="0.25">
      <c r="A85" s="47" t="s">
        <v>0</v>
      </c>
      <c r="B85" s="344" t="s">
        <v>222</v>
      </c>
      <c r="C85" s="344"/>
      <c r="D85" s="77">
        <f>Uniformes!H7</f>
        <v>36.619999999999997</v>
      </c>
      <c r="E85" s="61">
        <f>Uniformes!H7</f>
        <v>36.619999999999997</v>
      </c>
    </row>
    <row r="86" spans="1:5" s="30" customFormat="1" ht="15.75" customHeight="1" x14ac:dyDescent="0.25">
      <c r="A86" s="47" t="s">
        <v>2</v>
      </c>
      <c r="B86" s="344" t="s">
        <v>223</v>
      </c>
      <c r="C86" s="344"/>
      <c r="D86" s="77">
        <f>Materiais!H19</f>
        <v>44.57</v>
      </c>
      <c r="E86" s="61">
        <f>Materiais!H20</f>
        <v>44.57</v>
      </c>
    </row>
    <row r="87" spans="1:5" s="30" customFormat="1" ht="15.75" customHeight="1" x14ac:dyDescent="0.25">
      <c r="A87" s="47" t="s">
        <v>3</v>
      </c>
      <c r="B87" s="344" t="s">
        <v>187</v>
      </c>
      <c r="C87" s="344"/>
      <c r="D87" s="77">
        <f>Equipamentos!H19</f>
        <v>922.4</v>
      </c>
      <c r="E87" s="61">
        <f>Equipamentos!H20</f>
        <v>922.4</v>
      </c>
    </row>
    <row r="88" spans="1:5" s="30" customFormat="1" ht="15.75" customHeight="1" x14ac:dyDescent="0.25">
      <c r="A88" s="47" t="s">
        <v>5</v>
      </c>
      <c r="B88" s="344" t="s">
        <v>137</v>
      </c>
      <c r="C88" s="344"/>
      <c r="D88" s="77">
        <v>0</v>
      </c>
      <c r="E88" s="61">
        <v>0</v>
      </c>
    </row>
    <row r="89" spans="1:5" s="30" customFormat="1" ht="15.75" customHeight="1" x14ac:dyDescent="0.25">
      <c r="A89" s="349" t="s">
        <v>156</v>
      </c>
      <c r="B89" s="350"/>
      <c r="C89" s="350"/>
      <c r="D89" s="65">
        <f>SUM(D85:D88)</f>
        <v>1003.59</v>
      </c>
      <c r="E89" s="60">
        <f>SUM(E85:E88)</f>
        <v>1003.59</v>
      </c>
    </row>
    <row r="90" spans="1:5" s="30" customFormat="1" ht="30" customHeight="1" x14ac:dyDescent="0.25">
      <c r="A90" s="347" t="s">
        <v>225</v>
      </c>
      <c r="B90" s="348"/>
      <c r="C90" s="348"/>
      <c r="D90" s="120">
        <f>D89+D82+D62+D54+D25</f>
        <v>11364.32</v>
      </c>
      <c r="E90" s="148">
        <f>E89+E82+E62+E54+E25</f>
        <v>11364.32</v>
      </c>
    </row>
    <row r="91" spans="1:5" s="30" customFormat="1" ht="19.5" customHeight="1" x14ac:dyDescent="0.25">
      <c r="A91" s="353" t="s">
        <v>165</v>
      </c>
      <c r="B91" s="354"/>
      <c r="C91" s="354"/>
      <c r="D91" s="354"/>
      <c r="E91" s="429"/>
    </row>
    <row r="92" spans="1:5" s="30" customFormat="1" x14ac:dyDescent="0.25">
      <c r="A92" s="181">
        <v>6</v>
      </c>
      <c r="B92" s="372" t="s">
        <v>38</v>
      </c>
      <c r="C92" s="373"/>
      <c r="D92" s="68" t="s">
        <v>10</v>
      </c>
      <c r="E92" s="129" t="s">
        <v>10</v>
      </c>
    </row>
    <row r="93" spans="1:5" s="30" customFormat="1" x14ac:dyDescent="0.25">
      <c r="A93" s="181" t="s">
        <v>0</v>
      </c>
      <c r="B93" s="182" t="s">
        <v>39</v>
      </c>
      <c r="C93" s="54">
        <v>0.03</v>
      </c>
      <c r="D93" s="77">
        <f>+D90*C93</f>
        <v>340.93</v>
      </c>
      <c r="E93" s="61">
        <f>+E90*C93</f>
        <v>340.93</v>
      </c>
    </row>
    <row r="94" spans="1:5" s="30" customFormat="1" x14ac:dyDescent="0.25">
      <c r="A94" s="181" t="s">
        <v>2</v>
      </c>
      <c r="B94" s="182" t="s">
        <v>40</v>
      </c>
      <c r="C94" s="54">
        <v>6.7900000000000002E-2</v>
      </c>
      <c r="D94" s="77">
        <f>C94*(+D90+D93)</f>
        <v>794.79</v>
      </c>
      <c r="E94" s="61">
        <f>C94*(+E90+E93)</f>
        <v>794.79</v>
      </c>
    </row>
    <row r="95" spans="1:5" s="30" customFormat="1" ht="31.5" x14ac:dyDescent="0.25">
      <c r="A95" s="375" t="s">
        <v>3</v>
      </c>
      <c r="B95" s="182" t="s">
        <v>50</v>
      </c>
      <c r="C95" s="54">
        <f>1-C103</f>
        <v>0.85750000000000004</v>
      </c>
      <c r="D95" s="77">
        <f>+D90+D93+D94</f>
        <v>12500.04</v>
      </c>
      <c r="E95" s="61">
        <f>+E90+E93+E94</f>
        <v>12500.04</v>
      </c>
    </row>
    <row r="96" spans="1:5" s="30" customFormat="1" x14ac:dyDescent="0.25">
      <c r="A96" s="375"/>
      <c r="B96" s="182" t="s">
        <v>41</v>
      </c>
      <c r="C96" s="88"/>
      <c r="D96" s="121">
        <f>+D95/C95</f>
        <v>14577.31</v>
      </c>
      <c r="E96" s="149">
        <f>+E95/C95</f>
        <v>14577.31</v>
      </c>
    </row>
    <row r="97" spans="1:5" s="30" customFormat="1" x14ac:dyDescent="0.25">
      <c r="A97" s="375"/>
      <c r="B97" s="182" t="s">
        <v>42</v>
      </c>
      <c r="C97" s="67"/>
      <c r="D97" s="77"/>
      <c r="E97" s="61"/>
    </row>
    <row r="98" spans="1:5" s="30" customFormat="1" x14ac:dyDescent="0.25">
      <c r="A98" s="375"/>
      <c r="B98" s="182" t="s">
        <v>130</v>
      </c>
      <c r="C98" s="54">
        <v>1.6500000000000001E-2</v>
      </c>
      <c r="D98" s="77">
        <f>+D96*C98</f>
        <v>240.53</v>
      </c>
      <c r="E98" s="61">
        <f>+E96*C98</f>
        <v>240.53</v>
      </c>
    </row>
    <row r="99" spans="1:5" s="30" customFormat="1" x14ac:dyDescent="0.25">
      <c r="A99" s="375"/>
      <c r="B99" s="182" t="s">
        <v>131</v>
      </c>
      <c r="C99" s="54">
        <v>7.5999999999999998E-2</v>
      </c>
      <c r="D99" s="77">
        <f>+D96*C99</f>
        <v>1107.8800000000001</v>
      </c>
      <c r="E99" s="61">
        <f>+E96*C99</f>
        <v>1107.8800000000001</v>
      </c>
    </row>
    <row r="100" spans="1:5" s="30" customFormat="1" x14ac:dyDescent="0.25">
      <c r="A100" s="375"/>
      <c r="B100" s="221" t="s">
        <v>43</v>
      </c>
      <c r="C100" s="88"/>
      <c r="D100" s="77"/>
      <c r="E100" s="61"/>
    </row>
    <row r="101" spans="1:5" s="30" customFormat="1" x14ac:dyDescent="0.25">
      <c r="A101" s="375"/>
      <c r="B101" s="221" t="s">
        <v>44</v>
      </c>
      <c r="C101" s="94"/>
      <c r="D101" s="77"/>
      <c r="E101" s="61"/>
    </row>
    <row r="102" spans="1:5" s="30" customFormat="1" x14ac:dyDescent="0.25">
      <c r="A102" s="375"/>
      <c r="B102" s="182" t="s">
        <v>142</v>
      </c>
      <c r="C102" s="54">
        <v>0.05</v>
      </c>
      <c r="D102" s="77">
        <f>+D96*C102</f>
        <v>728.87</v>
      </c>
      <c r="E102" s="61">
        <f>+E96*C102</f>
        <v>728.87</v>
      </c>
    </row>
    <row r="103" spans="1:5" s="30" customFormat="1" x14ac:dyDescent="0.25">
      <c r="A103" s="181"/>
      <c r="B103" s="107" t="s">
        <v>45</v>
      </c>
      <c r="C103" s="99">
        <f>SUM(C98:C102)</f>
        <v>0.14249999999999999</v>
      </c>
      <c r="D103" s="77">
        <f>SUM(D98:D102)</f>
        <v>2077.2800000000002</v>
      </c>
      <c r="E103" s="61">
        <f>SUM(E98:E102)</f>
        <v>2077.2800000000002</v>
      </c>
    </row>
    <row r="104" spans="1:5" s="30" customFormat="1" ht="15.75" customHeight="1" x14ac:dyDescent="0.25">
      <c r="A104" s="369" t="s">
        <v>46</v>
      </c>
      <c r="B104" s="370"/>
      <c r="C104" s="370"/>
      <c r="D104" s="79">
        <f>+D93+D94+D103</f>
        <v>3213</v>
      </c>
      <c r="E104" s="62">
        <f>+E93+E94+E103</f>
        <v>3213</v>
      </c>
    </row>
    <row r="105" spans="1:5" s="30" customFormat="1" ht="15.75" customHeight="1" x14ac:dyDescent="0.25">
      <c r="A105" s="420" t="s">
        <v>47</v>
      </c>
      <c r="B105" s="421"/>
      <c r="C105" s="421"/>
      <c r="D105" s="122" t="s">
        <v>10</v>
      </c>
      <c r="E105" s="150" t="s">
        <v>10</v>
      </c>
    </row>
    <row r="106" spans="1:5" s="30" customFormat="1" x14ac:dyDescent="0.25">
      <c r="A106" s="49" t="s">
        <v>0</v>
      </c>
      <c r="B106" s="378" t="s">
        <v>48</v>
      </c>
      <c r="C106" s="378"/>
      <c r="D106" s="77">
        <f>+D25</f>
        <v>5902.71</v>
      </c>
      <c r="E106" s="61">
        <f>+E25</f>
        <v>5902.71</v>
      </c>
    </row>
    <row r="107" spans="1:5" s="30" customFormat="1" x14ac:dyDescent="0.25">
      <c r="A107" s="49" t="s">
        <v>2</v>
      </c>
      <c r="B107" s="378" t="s">
        <v>159</v>
      </c>
      <c r="C107" s="378"/>
      <c r="D107" s="77">
        <f>+D54</f>
        <v>3741.97</v>
      </c>
      <c r="E107" s="61">
        <f>+E54</f>
        <v>3741.97</v>
      </c>
    </row>
    <row r="108" spans="1:5" s="30" customFormat="1" x14ac:dyDescent="0.25">
      <c r="A108" s="49" t="s">
        <v>3</v>
      </c>
      <c r="B108" s="378" t="s">
        <v>157</v>
      </c>
      <c r="C108" s="378"/>
      <c r="D108" s="77">
        <f>D62</f>
        <v>422.04</v>
      </c>
      <c r="E108" s="61">
        <f>E62</f>
        <v>422.04</v>
      </c>
    </row>
    <row r="109" spans="1:5" s="30" customFormat="1" x14ac:dyDescent="0.25">
      <c r="A109" s="49" t="s">
        <v>5</v>
      </c>
      <c r="B109" s="378" t="s">
        <v>150</v>
      </c>
      <c r="C109" s="378"/>
      <c r="D109" s="77">
        <f>D82</f>
        <v>294.01</v>
      </c>
      <c r="E109" s="61">
        <f>E82</f>
        <v>294.01</v>
      </c>
    </row>
    <row r="110" spans="1:5" s="30" customFormat="1" x14ac:dyDescent="0.25">
      <c r="A110" s="49" t="s">
        <v>20</v>
      </c>
      <c r="B110" s="378" t="s">
        <v>158</v>
      </c>
      <c r="C110" s="378"/>
      <c r="D110" s="77">
        <f>D89</f>
        <v>1003.59</v>
      </c>
      <c r="E110" s="61">
        <f>E89</f>
        <v>1003.59</v>
      </c>
    </row>
    <row r="111" spans="1:5" s="30" customFormat="1" ht="15.75" customHeight="1" x14ac:dyDescent="0.25">
      <c r="A111" s="375" t="s">
        <v>160</v>
      </c>
      <c r="B111" s="372"/>
      <c r="C111" s="372"/>
      <c r="D111" s="100">
        <f>SUM(D106:D110)</f>
        <v>11364.32</v>
      </c>
      <c r="E111" s="145">
        <f>SUM(E106:E110)</f>
        <v>11364.32</v>
      </c>
    </row>
    <row r="112" spans="1:5" s="30" customFormat="1" x14ac:dyDescent="0.25">
      <c r="A112" s="181" t="s">
        <v>20</v>
      </c>
      <c r="B112" s="437" t="s">
        <v>161</v>
      </c>
      <c r="C112" s="437"/>
      <c r="D112" s="77">
        <f>+D104</f>
        <v>3213</v>
      </c>
      <c r="E112" s="61">
        <f>+E104</f>
        <v>3213</v>
      </c>
    </row>
    <row r="113" spans="1:5" s="30" customFormat="1" ht="16.5" customHeight="1" thickBot="1" x14ac:dyDescent="0.3">
      <c r="A113" s="361" t="s">
        <v>49</v>
      </c>
      <c r="B113" s="362"/>
      <c r="C113" s="362"/>
      <c r="D113" s="123">
        <f>+D111+D112</f>
        <v>14577.32</v>
      </c>
      <c r="E113" s="151">
        <f>+E111+E112</f>
        <v>14577.32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129</v>
      </c>
    </row>
    <row r="117" spans="1:5" x14ac:dyDescent="0.25">
      <c r="B117" s="28"/>
      <c r="C117" s="374"/>
      <c r="D117" s="374"/>
      <c r="E117" s="374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5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A55:E55"/>
    <mergeCell ref="A26:E26"/>
    <mergeCell ref="B27:C27"/>
    <mergeCell ref="A30:B30"/>
    <mergeCell ref="A31:E31"/>
    <mergeCell ref="B32:C32"/>
    <mergeCell ref="A41:B41"/>
    <mergeCell ref="A42:E42"/>
    <mergeCell ref="B43:C43"/>
    <mergeCell ref="A49:C49"/>
    <mergeCell ref="A50:E50"/>
    <mergeCell ref="A54:C54"/>
    <mergeCell ref="A82:C82"/>
    <mergeCell ref="B56:C56"/>
    <mergeCell ref="A62:C62"/>
    <mergeCell ref="A63:E63"/>
    <mergeCell ref="B64:C64"/>
    <mergeCell ref="A71:B71"/>
    <mergeCell ref="B73:C73"/>
    <mergeCell ref="A75:B75"/>
    <mergeCell ref="A76:E76"/>
    <mergeCell ref="A77:E77"/>
    <mergeCell ref="B78:C78"/>
    <mergeCell ref="A81:B81"/>
    <mergeCell ref="A104:C104"/>
    <mergeCell ref="A83:E83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95:A102"/>
    <mergeCell ref="A111:C111"/>
    <mergeCell ref="B112:C112"/>
    <mergeCell ref="A113:C113"/>
    <mergeCell ref="C117:E117"/>
    <mergeCell ref="A105:C105"/>
    <mergeCell ref="B106:C106"/>
    <mergeCell ref="B107:C107"/>
    <mergeCell ref="B108:C108"/>
    <mergeCell ref="B109:C109"/>
    <mergeCell ref="B110:C110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2024-12-17T12:57:46Z</cp:lastPrinted>
  <dcterms:created xsi:type="dcterms:W3CDTF">2014-04-11T01:53:38Z</dcterms:created>
  <dcterms:modified xsi:type="dcterms:W3CDTF">2024-12-17T12:58:24Z</dcterms:modified>
</cp:coreProperties>
</file>